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24226"/>
  <mc:AlternateContent xmlns:mc="http://schemas.openxmlformats.org/markup-compatibility/2006">
    <mc:Choice Requires="x15">
      <x15ac:absPath xmlns:x15ac="http://schemas.microsoft.com/office/spreadsheetml/2010/11/ac" url="C:\Users\Lenovo\Downloads\"/>
    </mc:Choice>
  </mc:AlternateContent>
  <xr:revisionPtr revIDLastSave="0" documentId="8_{06DA6F7E-4974-413E-A7DC-ED8B12312E59}" xr6:coauthVersionLast="47" xr6:coauthVersionMax="47" xr10:uidLastSave="{00000000-0000-0000-0000-000000000000}"/>
  <bookViews>
    <workbookView xWindow="-120" yWindow="-120" windowWidth="29040" windowHeight="15720" firstSheet="1" activeTab="3" xr2:uid="{00000000-000D-0000-FFFF-FFFF00000000}"/>
  </bookViews>
  <sheets>
    <sheet name="Instructivo" sheetId="2" r:id="rId1"/>
    <sheet name="Estado SCI" sheetId="1" r:id="rId2"/>
    <sheet name="Análisis Resultados" sheetId="3" r:id="rId3"/>
    <sheet name="Conclusión" sheetId="5" r:id="rId4"/>
    <sheet name="Hoja1" sheetId="6" state="hidden" r:id="rId5"/>
  </sheets>
  <externalReferences>
    <externalReference r:id="rId6"/>
  </externalReferences>
  <definedNames>
    <definedName name="_xlnm._FilterDatabase" localSheetId="4" hidden="1">Hoja1!$A$1:$K$45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59" i="1" l="1"/>
  <c r="J58" i="1"/>
  <c r="J57" i="1"/>
  <c r="J56" i="1"/>
  <c r="J55" i="1"/>
  <c r="J54" i="1"/>
  <c r="J53" i="1"/>
  <c r="J52" i="1"/>
  <c r="J51" i="1"/>
  <c r="J5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A59" i="1" l="1"/>
  <c r="A58" i="1"/>
  <c r="A57" i="1"/>
  <c r="A56" i="1"/>
  <c r="A55" i="1"/>
  <c r="A54" i="1"/>
  <c r="A53" i="1"/>
  <c r="A52" i="1"/>
  <c r="A51" i="1"/>
  <c r="A50" i="1"/>
  <c r="A49" i="1"/>
  <c r="A48" i="1"/>
  <c r="A47" i="1"/>
  <c r="A46" i="1"/>
  <c r="A45" i="1"/>
  <c r="A44" i="1"/>
  <c r="A43" i="1"/>
  <c r="A42" i="1"/>
  <c r="A41" i="1"/>
  <c r="A40" i="1"/>
  <c r="A39" i="1"/>
  <c r="J37" i="1"/>
  <c r="L37" i="1" s="1"/>
  <c r="J36" i="1"/>
  <c r="L36" i="1" s="1"/>
  <c r="J35" i="1"/>
  <c r="L35" i="1" s="1"/>
  <c r="J34" i="1"/>
  <c r="L34" i="1" s="1"/>
  <c r="J33" i="1"/>
  <c r="L33" i="1" s="1"/>
  <c r="J32" i="1"/>
  <c r="L32" i="1" s="1"/>
  <c r="A38" i="1"/>
  <c r="A37" i="1"/>
  <c r="A36" i="1"/>
  <c r="A35" i="1"/>
  <c r="A34" i="1"/>
  <c r="A33" i="1"/>
  <c r="A32" i="1"/>
  <c r="L59" i="1"/>
  <c r="L58" i="1"/>
  <c r="L57" i="1"/>
  <c r="L56" i="1"/>
  <c r="L55" i="1"/>
  <c r="L54" i="1"/>
  <c r="L53" i="1"/>
  <c r="L52" i="1"/>
  <c r="L51" i="1"/>
  <c r="L50" i="1"/>
  <c r="J49" i="1"/>
  <c r="L49" i="1" s="1"/>
  <c r="J48" i="1"/>
  <c r="L48" i="1" s="1"/>
  <c r="J47" i="1"/>
  <c r="L47" i="1" s="1"/>
  <c r="J46" i="1"/>
  <c r="L46" i="1" s="1"/>
  <c r="J45" i="1"/>
  <c r="L45" i="1" s="1"/>
  <c r="J44" i="1"/>
  <c r="L44" i="1" s="1"/>
  <c r="J43" i="1"/>
  <c r="L43" i="1" s="1"/>
  <c r="J42" i="1"/>
  <c r="L42" i="1" s="1"/>
  <c r="J41" i="1"/>
  <c r="L41" i="1" s="1"/>
  <c r="J40" i="1"/>
  <c r="L40" i="1" s="1"/>
  <c r="J39" i="1"/>
  <c r="L39" i="1" s="1"/>
  <c r="J38" i="1"/>
  <c r="L38" i="1" s="1"/>
  <c r="J31" i="1"/>
  <c r="L31" i="1" s="1"/>
  <c r="J30" i="1"/>
  <c r="L30" i="1" s="1"/>
  <c r="J29" i="1"/>
  <c r="L29" i="1" s="1"/>
  <c r="J28" i="1"/>
  <c r="L28" i="1" s="1"/>
  <c r="J27" i="1"/>
  <c r="L27" i="1" s="1"/>
  <c r="J26" i="1"/>
  <c r="L26" i="1" s="1"/>
  <c r="J25" i="1"/>
  <c r="L25" i="1" s="1"/>
  <c r="J24" i="1"/>
  <c r="L24" i="1" s="1"/>
  <c r="J23" i="1"/>
  <c r="L23" i="1" s="1"/>
  <c r="J22" i="1"/>
  <c r="L22" i="1" s="1"/>
  <c r="J21" i="1"/>
  <c r="L21" i="1" s="1"/>
  <c r="J20" i="1"/>
  <c r="L20" i="1" s="1"/>
  <c r="J19" i="1"/>
  <c r="L19" i="1" s="1"/>
  <c r="J18" i="1"/>
  <c r="L18" i="1" s="1"/>
  <c r="J17" i="1"/>
  <c r="L17" i="1" s="1"/>
  <c r="J16" i="1"/>
  <c r="L16" i="1" s="1"/>
  <c r="A31" i="1" l="1"/>
  <c r="A30" i="1"/>
  <c r="A29" i="1"/>
  <c r="A28" i="1"/>
  <c r="A27" i="1"/>
  <c r="A26" i="1"/>
  <c r="A25" i="1"/>
  <c r="A24" i="1"/>
  <c r="A23" i="1"/>
  <c r="A22" i="1"/>
  <c r="A21" i="1"/>
  <c r="A20" i="1"/>
  <c r="A19" i="1"/>
  <c r="A18" i="1"/>
  <c r="A17" i="1"/>
  <c r="A16" i="1"/>
  <c r="I3" i="6" l="1"/>
  <c r="J3" i="6" s="1"/>
  <c r="I11" i="6"/>
  <c r="J11" i="6" s="1"/>
  <c r="I19" i="6"/>
  <c r="J19" i="6" s="1"/>
  <c r="I25" i="6"/>
  <c r="J25" i="6" s="1"/>
  <c r="I33" i="6"/>
  <c r="J33" i="6" s="1"/>
  <c r="I41" i="6"/>
  <c r="J41" i="6" s="1"/>
  <c r="B29" i="6"/>
  <c r="I4" i="6"/>
  <c r="J4" i="6" s="1"/>
  <c r="I12" i="6"/>
  <c r="J12" i="6" s="1"/>
  <c r="I20" i="6"/>
  <c r="J20" i="6" s="1"/>
  <c r="I26" i="6"/>
  <c r="J26" i="6" s="1"/>
  <c r="I34" i="6"/>
  <c r="J34" i="6" s="1"/>
  <c r="I42" i="6"/>
  <c r="J42" i="6" s="1"/>
  <c r="B36" i="6"/>
  <c r="I5" i="6"/>
  <c r="J5" i="6" s="1"/>
  <c r="I13" i="6"/>
  <c r="J13" i="6" s="1"/>
  <c r="I27" i="6"/>
  <c r="J27" i="6" s="1"/>
  <c r="I35" i="6"/>
  <c r="J35" i="6" s="1"/>
  <c r="I43" i="6"/>
  <c r="J43" i="6" s="1"/>
  <c r="B2" i="6"/>
  <c r="I6" i="6"/>
  <c r="J6" i="6" s="1"/>
  <c r="I14" i="6"/>
  <c r="J14" i="6" s="1"/>
  <c r="I21" i="6"/>
  <c r="J21" i="6" s="1"/>
  <c r="I28" i="6"/>
  <c r="J28" i="6" s="1"/>
  <c r="I36" i="6"/>
  <c r="J36" i="6" s="1"/>
  <c r="I44" i="6"/>
  <c r="J44" i="6" s="1"/>
  <c r="I7" i="6"/>
  <c r="J7" i="6" s="1"/>
  <c r="I15" i="6"/>
  <c r="J15" i="6" s="1"/>
  <c r="I22" i="6"/>
  <c r="J22" i="6" s="1"/>
  <c r="I29" i="6"/>
  <c r="J29" i="6" s="1"/>
  <c r="I37" i="6"/>
  <c r="J37" i="6" s="1"/>
  <c r="I45" i="6"/>
  <c r="J45" i="6" s="1"/>
  <c r="I8" i="6"/>
  <c r="J8" i="6" s="1"/>
  <c r="I16" i="6"/>
  <c r="J16" i="6" s="1"/>
  <c r="I23" i="6"/>
  <c r="J23" i="6" s="1"/>
  <c r="I30" i="6"/>
  <c r="J30" i="6" s="1"/>
  <c r="I38" i="6"/>
  <c r="J38" i="6" s="1"/>
  <c r="I2" i="6"/>
  <c r="J2" i="6" s="1"/>
  <c r="I9" i="6"/>
  <c r="J9" i="6" s="1"/>
  <c r="I17" i="6"/>
  <c r="J17" i="6" s="1"/>
  <c r="I31" i="6"/>
  <c r="J31" i="6" s="1"/>
  <c r="I39" i="6"/>
  <c r="J39" i="6" s="1"/>
  <c r="B14" i="6"/>
  <c r="I10" i="6"/>
  <c r="J10" i="6" s="1"/>
  <c r="I18" i="6"/>
  <c r="J18" i="6" s="1"/>
  <c r="I24" i="6"/>
  <c r="J24" i="6" s="1"/>
  <c r="I32" i="6"/>
  <c r="J32" i="6" s="1"/>
  <c r="I40" i="6"/>
  <c r="J40" i="6" s="1"/>
  <c r="B24" i="6"/>
  <c r="G41" i="6"/>
  <c r="G40" i="6"/>
  <c r="G32" i="6"/>
  <c r="G24" i="6"/>
  <c r="G18" i="6"/>
  <c r="G10" i="6"/>
  <c r="G2" i="6"/>
  <c r="F10" i="6"/>
  <c r="F18" i="6"/>
  <c r="F24" i="6"/>
  <c r="F32" i="6"/>
  <c r="F40" i="6"/>
  <c r="G29" i="6"/>
  <c r="G7" i="6"/>
  <c r="F27" i="6"/>
  <c r="G28" i="6"/>
  <c r="G14" i="6"/>
  <c r="F14" i="6"/>
  <c r="F36" i="6"/>
  <c r="G27" i="6"/>
  <c r="G5" i="6"/>
  <c r="F22" i="6"/>
  <c r="F45" i="6"/>
  <c r="G34" i="6"/>
  <c r="G20" i="6"/>
  <c r="F8" i="6"/>
  <c r="F30" i="6"/>
  <c r="G33" i="6"/>
  <c r="G11" i="6"/>
  <c r="F17" i="6"/>
  <c r="G39" i="6"/>
  <c r="G31" i="6"/>
  <c r="G17" i="6"/>
  <c r="G9" i="6"/>
  <c r="F3" i="6"/>
  <c r="F11" i="6"/>
  <c r="F19" i="6"/>
  <c r="F25" i="6"/>
  <c r="F33" i="6"/>
  <c r="F41" i="6"/>
  <c r="G37" i="6"/>
  <c r="G15" i="6"/>
  <c r="F5" i="6"/>
  <c r="F43" i="6"/>
  <c r="G44" i="6"/>
  <c r="G21" i="6"/>
  <c r="F6" i="6"/>
  <c r="F28" i="6"/>
  <c r="G35" i="6"/>
  <c r="G13" i="6"/>
  <c r="F7" i="6"/>
  <c r="F29" i="6"/>
  <c r="G26" i="6"/>
  <c r="G4" i="6"/>
  <c r="F23" i="6"/>
  <c r="F2" i="6"/>
  <c r="G19" i="6"/>
  <c r="F9" i="6"/>
  <c r="F39" i="6"/>
  <c r="G38" i="6"/>
  <c r="G30" i="6"/>
  <c r="G23" i="6"/>
  <c r="G16" i="6"/>
  <c r="G8" i="6"/>
  <c r="F4" i="6"/>
  <c r="F12" i="6"/>
  <c r="F20" i="6"/>
  <c r="F26" i="6"/>
  <c r="F34" i="6"/>
  <c r="F42" i="6"/>
  <c r="G45" i="6"/>
  <c r="G22" i="6"/>
  <c r="F13" i="6"/>
  <c r="F35" i="6"/>
  <c r="G36" i="6"/>
  <c r="G6" i="6"/>
  <c r="F21" i="6"/>
  <c r="F44" i="6"/>
  <c r="G43" i="6"/>
  <c r="F15" i="6"/>
  <c r="F37" i="6"/>
  <c r="G42" i="6"/>
  <c r="G12" i="6"/>
  <c r="F16" i="6"/>
  <c r="F38" i="6"/>
  <c r="G25" i="6"/>
  <c r="G3" i="6"/>
  <c r="F31" i="6"/>
  <c r="K24" i="6" l="1"/>
  <c r="G30" i="5" s="1"/>
  <c r="K29" i="6"/>
  <c r="K36" i="6"/>
  <c r="K14" i="6"/>
  <c r="K9" i="6"/>
  <c r="K6" i="6"/>
  <c r="K35" i="6"/>
  <c r="K19" i="6"/>
  <c r="K23" i="6"/>
  <c r="K40" i="6"/>
  <c r="K10" i="6"/>
  <c r="K7" i="6"/>
  <c r="K44" i="6"/>
  <c r="K20" i="6"/>
  <c r="K38" i="6"/>
  <c r="K3" i="6"/>
  <c r="K8" i="6"/>
  <c r="K30" i="6"/>
  <c r="K37" i="6"/>
  <c r="K25" i="6"/>
  <c r="K45" i="6"/>
  <c r="K11" i="6"/>
  <c r="K4" i="6"/>
  <c r="K12" i="6"/>
  <c r="K32" i="6"/>
  <c r="K41" i="6"/>
  <c r="K17" i="6"/>
  <c r="K15" i="6"/>
  <c r="K28" i="6"/>
  <c r="K39" i="6"/>
  <c r="K27" i="6"/>
  <c r="K5" i="6"/>
  <c r="K33" i="6"/>
  <c r="K42" i="6"/>
  <c r="K22" i="6"/>
  <c r="K2" i="6"/>
  <c r="K31" i="6"/>
  <c r="K13" i="6"/>
  <c r="K34" i="6"/>
  <c r="K43" i="6"/>
  <c r="K18" i="6"/>
  <c r="K16" i="6"/>
  <c r="K26" i="6"/>
  <c r="K21" i="6"/>
  <c r="H37" i="6"/>
  <c r="H17" i="6"/>
  <c r="H30" i="6"/>
  <c r="H2" i="6"/>
  <c r="H10" i="6"/>
  <c r="H44" i="6"/>
  <c r="H6" i="6"/>
  <c r="H7" i="6"/>
  <c r="H42" i="6"/>
  <c r="H36" i="6"/>
  <c r="H11" i="6"/>
  <c r="H5" i="6"/>
  <c r="H29" i="6"/>
  <c r="H18" i="6"/>
  <c r="H12" i="6"/>
  <c r="H38" i="6"/>
  <c r="H13" i="6"/>
  <c r="H33" i="6"/>
  <c r="H27" i="6"/>
  <c r="H24" i="6"/>
  <c r="H3" i="6"/>
  <c r="H8" i="6"/>
  <c r="H26" i="6"/>
  <c r="H39" i="6"/>
  <c r="H19" i="6"/>
  <c r="H35" i="6"/>
  <c r="H15" i="6"/>
  <c r="H9" i="6"/>
  <c r="H32" i="6"/>
  <c r="H40" i="6"/>
  <c r="H22" i="6"/>
  <c r="H25" i="6"/>
  <c r="H45" i="6"/>
  <c r="H20" i="6"/>
  <c r="H14" i="6"/>
  <c r="H43" i="6"/>
  <c r="H16" i="6"/>
  <c r="H23" i="6"/>
  <c r="H4" i="6"/>
  <c r="H21" i="6"/>
  <c r="H31" i="6"/>
  <c r="H34" i="6"/>
  <c r="H28" i="6"/>
  <c r="H41" i="6"/>
  <c r="E30" i="5" l="1"/>
  <c r="E26" i="5"/>
  <c r="G26" i="5"/>
  <c r="E28" i="5"/>
  <c r="G28" i="5"/>
  <c r="G34" i="5"/>
  <c r="E34" i="5"/>
  <c r="E32" i="5"/>
  <c r="G32" i="5"/>
  <c r="F56" i="3"/>
  <c r="F48" i="3"/>
  <c r="F40" i="3"/>
  <c r="F32" i="3"/>
  <c r="F24" i="3"/>
  <c r="F55" i="3"/>
  <c r="F47" i="3"/>
  <c r="F39" i="3"/>
  <c r="F31" i="3"/>
  <c r="F23" i="3"/>
  <c r="F34" i="3"/>
  <c r="F62" i="3"/>
  <c r="F54" i="3"/>
  <c r="F46" i="3"/>
  <c r="F38" i="3"/>
  <c r="F30" i="3"/>
  <c r="F22" i="3"/>
  <c r="F53" i="3"/>
  <c r="F45" i="3"/>
  <c r="F37" i="3"/>
  <c r="F29" i="3"/>
  <c r="F57" i="3"/>
  <c r="F33" i="3"/>
  <c r="F61" i="3"/>
  <c r="F21" i="3"/>
  <c r="F58" i="3"/>
  <c r="F50" i="3"/>
  <c r="F26" i="3"/>
  <c r="F60" i="3"/>
  <c r="F52" i="3"/>
  <c r="F44" i="3"/>
  <c r="F36" i="3"/>
  <c r="F28" i="3"/>
  <c r="F20" i="3"/>
  <c r="F25" i="3"/>
  <c r="F59" i="3"/>
  <c r="F51" i="3"/>
  <c r="F43" i="3"/>
  <c r="F35" i="3"/>
  <c r="F27" i="3"/>
  <c r="F19" i="3"/>
  <c r="F42" i="3"/>
  <c r="F49" i="3"/>
  <c r="F41" i="3"/>
  <c r="E56" i="3"/>
  <c r="E40" i="3"/>
  <c r="E55" i="3"/>
  <c r="E47" i="3"/>
  <c r="E39" i="3"/>
  <c r="E31" i="3"/>
  <c r="E23" i="3"/>
  <c r="E51" i="3"/>
  <c r="E27" i="3"/>
  <c r="E58" i="3"/>
  <c r="E26" i="3"/>
  <c r="E57" i="3"/>
  <c r="E25" i="3"/>
  <c r="E24" i="3"/>
  <c r="E62" i="3"/>
  <c r="E54" i="3"/>
  <c r="E46" i="3"/>
  <c r="E38" i="3"/>
  <c r="E30" i="3"/>
  <c r="E22" i="3"/>
  <c r="E60" i="3"/>
  <c r="E20" i="3"/>
  <c r="E43" i="3"/>
  <c r="E50" i="3"/>
  <c r="E34" i="3"/>
  <c r="E49" i="3"/>
  <c r="E48" i="3"/>
  <c r="E61" i="3"/>
  <c r="E53" i="3"/>
  <c r="E45" i="3"/>
  <c r="E37" i="3"/>
  <c r="E29" i="3"/>
  <c r="E21" i="3"/>
  <c r="E52" i="3"/>
  <c r="E44" i="3"/>
  <c r="E36" i="3"/>
  <c r="E28" i="3"/>
  <c r="E59" i="3"/>
  <c r="E35" i="3"/>
  <c r="E19" i="3"/>
  <c r="E42" i="3"/>
  <c r="E41" i="3"/>
  <c r="E33" i="3"/>
  <c r="E32" i="3"/>
  <c r="I61" i="3" l="1"/>
  <c r="G61" i="3"/>
  <c r="I59" i="3"/>
  <c r="G59" i="3"/>
  <c r="I45" i="3"/>
  <c r="G45" i="3"/>
  <c r="G20" i="3"/>
  <c r="I20" i="3"/>
  <c r="G24" i="3"/>
  <c r="I24" i="3"/>
  <c r="I31" i="3"/>
  <c r="G31" i="3"/>
  <c r="I32" i="3"/>
  <c r="G32" i="3"/>
  <c r="G28" i="3"/>
  <c r="I28" i="3"/>
  <c r="I53" i="3"/>
  <c r="G53" i="3"/>
  <c r="I60" i="3"/>
  <c r="G60" i="3"/>
  <c r="G25" i="3"/>
  <c r="I25" i="3"/>
  <c r="I39" i="3"/>
  <c r="G39" i="3"/>
  <c r="G22" i="3"/>
  <c r="I22" i="3"/>
  <c r="I57" i="3"/>
  <c r="G57" i="3"/>
  <c r="I47" i="3"/>
  <c r="G47" i="3"/>
  <c r="I33" i="3"/>
  <c r="G33" i="3"/>
  <c r="I44" i="3"/>
  <c r="G44" i="3"/>
  <c r="I48" i="3"/>
  <c r="G48" i="3"/>
  <c r="I30" i="3"/>
  <c r="G30" i="3"/>
  <c r="G26" i="3"/>
  <c r="I26" i="3"/>
  <c r="I55" i="3"/>
  <c r="G55" i="3"/>
  <c r="I41" i="3"/>
  <c r="G41" i="3"/>
  <c r="I52" i="3"/>
  <c r="G52" i="3"/>
  <c r="I49" i="3"/>
  <c r="G49" i="3"/>
  <c r="I38" i="3"/>
  <c r="G38" i="3"/>
  <c r="I58" i="3"/>
  <c r="G58" i="3"/>
  <c r="I42" i="3"/>
  <c r="G42" i="3"/>
  <c r="G21" i="3"/>
  <c r="I21" i="3"/>
  <c r="I34" i="3"/>
  <c r="G34" i="3"/>
  <c r="I46" i="3"/>
  <c r="G46" i="3"/>
  <c r="I27" i="3"/>
  <c r="G27" i="3"/>
  <c r="I40" i="3"/>
  <c r="G40" i="3"/>
  <c r="I36" i="3"/>
  <c r="G36" i="3"/>
  <c r="I19" i="3"/>
  <c r="G19" i="3"/>
  <c r="G29" i="3"/>
  <c r="I29" i="3"/>
  <c r="I50" i="3"/>
  <c r="G50" i="3"/>
  <c r="I54" i="3"/>
  <c r="G54" i="3"/>
  <c r="I51" i="3"/>
  <c r="G51" i="3"/>
  <c r="I56" i="3"/>
  <c r="G56" i="3"/>
  <c r="I35" i="3"/>
  <c r="G35" i="3"/>
  <c r="I37" i="3"/>
  <c r="G37" i="3"/>
  <c r="I43" i="3"/>
  <c r="G43" i="3"/>
  <c r="I62" i="3"/>
  <c r="G62" i="3"/>
  <c r="G23" i="3"/>
  <c r="I23" i="3"/>
  <c r="J41" i="3" l="1"/>
  <c r="J53" i="3"/>
  <c r="J46" i="3"/>
  <c r="J31" i="3"/>
  <c r="J19" i="3"/>
  <c r="M8" i="5" l="1"/>
</calcChain>
</file>

<file path=xl/sharedStrings.xml><?xml version="1.0" encoding="utf-8"?>
<sst xmlns="http://schemas.openxmlformats.org/spreadsheetml/2006/main" count="514" uniqueCount="242">
  <si>
    <t>EVALUACIÓN INDEPENDIENTE SISTEMA DE CONTROL INTERNO
Entidades Pequeñas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</si>
  <si>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 La estructura propuesta es diferencial para aquellas entidades de municipios de 6a categoría (Personerías y Concejos Municipales) que son entidades con 1 y hasta 5 servidores en sus plantas de personal. Estas entidades deben tener en cuenta que de acuerdo con el parágrafo del artículo ARTÍCULO 2.2.22.2.1. del Decreto 1499 de 2017, las políticas de gestión y desempeño contenidas en el Modelo Integrado de Planeación y Gestión MIPG, deben ser aplicadas acorde con las normas que las regulan, por lo que deben analizar dichas políticas e implementarlas en armonía con el MECI.</t>
  </si>
  <si>
    <t>Orientaciones Generales</t>
  </si>
  <si>
    <r>
      <t xml:space="preserve">El archivo contiene las siguientes hojas:
 -  1 </t>
    </r>
    <r>
      <rPr>
        <b/>
        <sz val="11"/>
        <rFont val="Arial Narrow"/>
        <family val="2"/>
      </rPr>
      <t xml:space="preserve">Pestaña que desarrolla la estructura para evaluar el estado del Sistema de Control Interno: </t>
    </r>
    <r>
      <rPr>
        <sz val="11"/>
        <rFont val="Arial Narrow"/>
        <family val="2"/>
      </rPr>
      <t xml:space="preserve">Se desagrega en </t>
    </r>
    <r>
      <rPr>
        <sz val="10"/>
        <rFont val="Arial Narrow"/>
        <family val="2"/>
      </rPr>
      <t>"Ambiente de Control", "Evaluación de riesgos", "Actividades de control", "Información y Comunicación", y " Actividades de Monitoreo", componentes actuales del Modelo Estándar de Control Interno MECI. La estructura es la siguiente para el diligenciamiento:</t>
    </r>
  </si>
  <si>
    <t>Columna</t>
  </si>
  <si>
    <t>Descripción</t>
  </si>
  <si>
    <t>Componente del MECI asociado</t>
  </si>
  <si>
    <t>Esta columna define los componentes del MECI.</t>
  </si>
  <si>
    <t>Lineamiento General por Componente</t>
  </si>
  <si>
    <t>En esta columna establece el lineamientos general para cada uno de los componentes del MECI</t>
  </si>
  <si>
    <t>Requerimiento Asociado al Componente</t>
  </si>
  <si>
    <t>Se muestran una serie de preguntas con 3 opciones de respuesta así:
1. SI
2.NO
3. EN PROCESO</t>
  </si>
  <si>
    <t>Evidencia de Seguimiento al Control</t>
  </si>
  <si>
    <t>Establezca actividades adelantadas de aplicación del documento o elemento antes identificado (esto cuando se responde SI o bien EN PROCESO)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</si>
  <si>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consolidar los resultados para cada componente evaluado.</t>
    </r>
  </si>
  <si>
    <t xml:space="preserve">Clasificación </t>
  </si>
  <si>
    <t>Observaciones del Control</t>
  </si>
  <si>
    <t>Mantenimiento del Control</t>
  </si>
  <si>
    <t>Existe requerimiento pero se requiere actividades  dirigidas a su mantenimiento dentro del marco de las lineas de defensa.</t>
  </si>
  <si>
    <t>Oportunidad de Mejora</t>
  </si>
  <si>
    <t>Se encuentra en proceso, pero requiere continuar con acciones dirigidas a contar con dicho aspecto de control</t>
  </si>
  <si>
    <t xml:space="preserve">Deficiencia del Control 
</t>
  </si>
  <si>
    <t>No se encuentra el aspecto  por lo tanto la entidad debera generar acciones dirigidas a que se cumpla con el requerimiento .</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</si>
  <si>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el estado del Sistema de Control Interno evaluado, información a partir de la cual se definen las acciones de mejora correspondientes. Esta hoja será el informe para publicación en página web, o bien para ubicar en un lugar visible en la sede de la entidad (esto para aquellas que no cuentan con conectividad o página web en operación).</t>
    </r>
  </si>
  <si>
    <t>MEDICION ESTADO DEL SISTEMA DE CONTROL INTERNO EN LA ENTIDAD</t>
  </si>
  <si>
    <t xml:space="preserve">No. </t>
  </si>
  <si>
    <t>Literal</t>
  </si>
  <si>
    <t>Requerimiento asociado al componente</t>
  </si>
  <si>
    <t>Seguimiento al control (Si, No, En proceso)</t>
  </si>
  <si>
    <t>Evidencia de seguimiento al control
(Establezca actividades adelantadas de aplicación del documento o elemento antes identificado, esto cuando se responde SI o bien EN PROCESO</t>
  </si>
  <si>
    <t>Evaluación</t>
  </si>
  <si>
    <t>1</t>
  </si>
  <si>
    <t>AMBIENTE DE CONTROL</t>
  </si>
  <si>
    <t>El ambiente de control institucional está integrado por todas esas condiciones mínimas que debe garantizar cualquier entidad pública para el ejercicio del control interno. Para el caso de su entidad indique si se cuenta con:</t>
  </si>
  <si>
    <t>a</t>
  </si>
  <si>
    <t>Documento interno o adopción del MECI actualizado</t>
  </si>
  <si>
    <t>No</t>
  </si>
  <si>
    <t>b</t>
  </si>
  <si>
    <t>Un documento tal como un código de ética, integridad u otro que formalice los estándares de conducta, los principios institucionales o los valores del servicio público</t>
  </si>
  <si>
    <t>Si</t>
  </si>
  <si>
    <t>c</t>
  </si>
  <si>
    <t>Planes, programas y proyectos de acuerdo con las normas que rigen y atendiendo con su propósito fundamental institucional (misión)</t>
  </si>
  <si>
    <t>d</t>
  </si>
  <si>
    <t>Una estructura organizacional formalizada (organigrama)</t>
  </si>
  <si>
    <t>e</t>
  </si>
  <si>
    <t>Un manual de funciones que describa los empleos de la entidad</t>
  </si>
  <si>
    <t>f</t>
  </si>
  <si>
    <t>La documentación de sus procesos y procedimientos o bien una lista de actividades principales que permitan conocer el estado de su gestión</t>
  </si>
  <si>
    <t>g</t>
  </si>
  <si>
    <t>Vinculación de los servidores públicos de acuerdo con el marco normativo que les rige (carrera administrativa, libre nombramiento y remoción, entre otros)</t>
  </si>
  <si>
    <t>h</t>
  </si>
  <si>
    <t>Procesos de inducción, capacitación y bienestar social para sus servidores públicos, de manera directa o en asociación con otras entidades municipales</t>
  </si>
  <si>
    <t>i</t>
  </si>
  <si>
    <t>Evaluación a los servidores públicos de acuerdo con el marco normativo que le rige</t>
  </si>
  <si>
    <t>j</t>
  </si>
  <si>
    <t>Procesos de desvinculación de servidores de acuerdo con lo previsto en la Constitución Política y las leyes</t>
  </si>
  <si>
    <t>k</t>
  </si>
  <si>
    <t>Mecanismos de rendición de cuentas a la ciudadanía</t>
  </si>
  <si>
    <t>l</t>
  </si>
  <si>
    <t>Presentación oportuna de sus informes de gestión a las autoridades competentes</t>
  </si>
  <si>
    <t>2</t>
  </si>
  <si>
    <t>EVALUACION DEL RIESGO</t>
  </si>
  <si>
    <t>Toda entidad debe identificar, evaluar y gestionar eventos potenciales, tanto internos como externos, que puedan afectar el logro de los objetivos institucionales. Para el caso de su entidad indique si se cuenta con:</t>
  </si>
  <si>
    <t>Identificación de cambios en su entorno que pueden generar consecuencias negativas en su gestión</t>
  </si>
  <si>
    <t>Identificación de aquellos problemas o aspectos que pueden afectar el cumplimiento de los planes de la entidad y en general su gestión institucional (riesgos)</t>
  </si>
  <si>
    <t>Identificación  de los riesgos relacionados con posibles actos de corrupción en el ejercicio de sus funciones</t>
  </si>
  <si>
    <t>Si su capacidad e infraestructura lo permite, identificación de riesgos asociados a las tecnologías de la información y las comunicaciones</t>
  </si>
  <si>
    <t>3</t>
  </si>
  <si>
    <t>Los líderes de los programas, proyectos, o procesos de la entidad  junto con sus equipos de trabajo:</t>
  </si>
  <si>
    <t>Hacen seguimiento a los problemas (riesgos)  que pueden afectar el cumplimiento de sus procesos, programas o proyectos a cargo</t>
  </si>
  <si>
    <t>Informan de manera periódica a quien corresponda sobre el desempeño de las actividades de gestión de riesgos</t>
  </si>
  <si>
    <t>Identifican deficiencias en las maneras de  controlar los riesgos o problemas en sus procesos, programas o proyectos, y propone los ajustes necesarios</t>
  </si>
  <si>
    <t>4</t>
  </si>
  <si>
    <t>Para el manejo de los problemas que afectan el cumplimiento de las metas u objetivos institucionales (riesgos), el jefe de control interno o quien haga sus veces, ha podido evidenciar si en la entidad:</t>
  </si>
  <si>
    <t>Se definen espacios de reunión para conocerlos y proponer acciones para su solución</t>
  </si>
  <si>
    <t>Cada líder del equipo autónomamente toma las acciones para solucionarlos.</t>
  </si>
  <si>
    <t>Solamente hasta que un organismo de control actúa se definen acciones de mejora.</t>
  </si>
  <si>
    <t>5</t>
  </si>
  <si>
    <t>ACTIVIDADES DE CONTROL</t>
  </si>
  <si>
    <t>Una vez identificados los problemas que afectan el cumplimiento de los planes de la entidad o su gestión institucional, la entidad debe diseñar los controles o mecanismos para darles tratamiento. Para el caso de su entidad indique si se cuenta con:</t>
  </si>
  <si>
    <t>La definición de acciones o actividades para para dar tratamiento a los problemas identificados (mitigación de riesgos), incluyendo aquellos asociados a posibles actos de corrupción</t>
  </si>
  <si>
    <t>Mecanismos de verificación de si se están o no mitigando los riesgos, o en su defecto, elaboración de planes de contingencia para subsanar sus consecuencias</t>
  </si>
  <si>
    <t>Planes, acciones o estrategias que permitan subsanar las consecuencias de la materialización de los riesgos, cuando se presentan</t>
  </si>
  <si>
    <t>Un documento que consolide  los riesgos  y el tratamiento que se les da, incluyendo aquellos que conllevan posibles actos de corrupción y si la capacidad e infraestructura lo permite, los asociados con las tecnologías de la información y las comunicaciones</t>
  </si>
  <si>
    <t>Un plan anticorrupción y de servicio al ciudadano con los temas que le aplican, publicado en algún medio para conocimiento de la ciudadanía</t>
  </si>
  <si>
    <t>6</t>
  </si>
  <si>
    <t>INFORMACION Y COMUNICACIÓN</t>
  </si>
  <si>
    <t>Las entidades deben procurar, de acuerdo con sus propias capacidades internas, que la información y la comunicación que requiere para su gestión y  control interno fluya de manera clara.  Acorde con lo anterior, indique si se cuenta con:</t>
  </si>
  <si>
    <t>Responsables de la información institucional</t>
  </si>
  <si>
    <t>Canales de comunicación con los ciudadanos</t>
  </si>
  <si>
    <t>Canales de comunicación o mecanismos de reporte de información a otros organismos gubernamentales o de control</t>
  </si>
  <si>
    <t xml:space="preserve">Lineamientos para dar tratamiento a la información de carácter reservado </t>
  </si>
  <si>
    <t>Identificación de información que produce en el marco de su gestión (Para los ciudadanos, organismos de control, organismos gubernamentales, entre otros)</t>
  </si>
  <si>
    <t>Identificación de información necesaria para la operación de la entidad (normograma, presupuesto, talento humano, infraestructura física y tecnológica)</t>
  </si>
  <si>
    <t>Si su capacidad e infraestructura lo permite, tecnologías de la información y las comunicaciones que soporten estos procesos</t>
  </si>
  <si>
    <t>7</t>
  </si>
  <si>
    <t>ACTIVIDADES DE MONITOREO</t>
  </si>
  <si>
    <t>Las entidades deben valorar: la eficiencia y eficacia de su gestión y la efectividad del control interno de la entidad pública con el propósito de detectar desviaciones y generar recomendaciones para la mejora. Para el caso de su entidad indique si se cuenta con:</t>
  </si>
  <si>
    <t>Mecanismos de evaluación de la gestión (cronogramas, indicadores, listas de chequeo u otros)</t>
  </si>
  <si>
    <t>Algún mecanismo para monitorear o supervisar el sistema de control interno institucional, ya sea por parte del representante legal, o del área de control interno (si la entidad cuenta con ella), o bien a través del Comité departamental o municipal de Auditoría.</t>
  </si>
  <si>
    <t>Medidas correctivas en caso de detectarse deficiencias en los ejercicios de evaluación, seguimiento o auditoría</t>
  </si>
  <si>
    <t>Seguimiento a los planes de mejoramiento suscritos con instancias de control internas o externas</t>
  </si>
  <si>
    <t>8</t>
  </si>
  <si>
    <t>¿La entidad ha solicitado hacer parte del Comité Municipal de Auditoría, a efectos de contar con un escenario para compartir buenas prácticas en materia de control interno, así como analizar la viabilidad de contar como mínimo con un proceso auditor en la vigencia?</t>
  </si>
  <si>
    <t>La entidad participa en el  Comité Municipal de Auditoría?</t>
  </si>
  <si>
    <t>9</t>
  </si>
  <si>
    <t>El jefe de control interno o quien haga sus veces, ha podido evidenciar si en la entidad el manejo que se ha hecho a los problemas que afectan el cumplimiento de sus metas y objetivos (riesgos) le ha permitido:</t>
  </si>
  <si>
    <t>Evitar que los problemas (riesgos) obstaculicen el cumplimiento de los objetivos.</t>
  </si>
  <si>
    <t>Controlar los puntos críticos en los procesos.</t>
  </si>
  <si>
    <t>Diseñar acciones adecuadas para controlar los problemas que afectan el cumplimiento de las metas y objetivos institucionales (riesgos).</t>
  </si>
  <si>
    <t>Ejecutar las acciones de acuerdo a como se diseñaron previamente.</t>
  </si>
  <si>
    <t>No se gestionan los problemas que afectan el cumplimiento de las funciones y objetivos institucionales(riesgos).</t>
  </si>
  <si>
    <t>ANÁLISIS DE RESULTADOS PARA LA TOMA DE DECISIONES</t>
  </si>
  <si>
    <t>Se encuentra en proceso, pero requiere continuar con acciones dirigidas a contar con dicho aspecto de control.</t>
  </si>
  <si>
    <t>Se encuentra presente  y funcionando, pero requiere mejoras frente a su diseño, ya que  opera de manera efectiva</t>
  </si>
  <si>
    <t>No se encuentra el aspecto  por lo tanto la entidad debera generar acciones dirigidas a que se cumpla con el requerimiento.</t>
  </si>
  <si>
    <t>RESULTADOS</t>
  </si>
  <si>
    <t>FUENTE DEL ANALISIS</t>
  </si>
  <si>
    <t xml:space="preserve">Seguimiento al control </t>
  </si>
  <si>
    <t>OBSERVACIONES DEL CONTROL</t>
  </si>
  <si>
    <t>NIVEL DE CUMPLIMIENTO-ASPECTOS PARTICULARES POR COMPONENTE</t>
  </si>
  <si>
    <t>NIVEL DE CUMPLIMIENTO COMPONENTE</t>
  </si>
  <si>
    <t>componente</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</si>
  <si>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</si>
  <si>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</si>
  <si>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</si>
  <si>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</si>
  <si>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</si>
  <si>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</si>
  <si>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</si>
  <si>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Componente</t>
  </si>
  <si>
    <t>¿se esta cumpliendo los requerimientos ?</t>
  </si>
  <si>
    <t>Nivel de Cumplimiento componente</t>
  </si>
  <si>
    <r>
      <rPr>
        <b/>
        <u/>
        <sz val="20"/>
        <color theme="0"/>
        <rFont val="Arial"/>
        <family val="2"/>
      </rPr>
      <t xml:space="preserve"> Estado actual:</t>
    </r>
    <r>
      <rPr>
        <b/>
        <sz val="20"/>
        <color theme="0"/>
        <rFont val="Arial"/>
        <family val="2"/>
      </rPr>
      <t xml:space="preserve"> Explicacion de las Debilidades y/o Fortalezas encontradas en cada componente</t>
    </r>
  </si>
  <si>
    <t>EVALUCION DEL RIESGO</t>
  </si>
  <si>
    <t>ACTIVIDADES DEL CONTROL</t>
  </si>
  <si>
    <t xml:space="preserve">ACTIVIDADES DE MONITOREO </t>
  </si>
  <si>
    <t xml:space="preserve">Evaluación </t>
  </si>
  <si>
    <t>Puntaje</t>
  </si>
  <si>
    <t xml:space="preserve">Orden </t>
  </si>
  <si>
    <t>Nivel de cumplimiento -Aaspectos particulares por componente</t>
  </si>
  <si>
    <t xml:space="preserve">Promedios </t>
  </si>
  <si>
    <t>1a</t>
  </si>
  <si>
    <t>1b</t>
  </si>
  <si>
    <t>1c</t>
  </si>
  <si>
    <t>1d</t>
  </si>
  <si>
    <t>1e</t>
  </si>
  <si>
    <t>1f</t>
  </si>
  <si>
    <t>1g</t>
  </si>
  <si>
    <t>1h</t>
  </si>
  <si>
    <t>1i</t>
  </si>
  <si>
    <t>1j</t>
  </si>
  <si>
    <t>1k</t>
  </si>
  <si>
    <t>1l</t>
  </si>
  <si>
    <t>2a</t>
  </si>
  <si>
    <t>La identificación de cambios en su entorno que pueden generar consecuencias negativas en su gestión</t>
  </si>
  <si>
    <t>2b</t>
  </si>
  <si>
    <t>La identificación de aquellos problemas o aspectos que pueden afectar el cumplimiento de los planes de la entidad y en general su gestión institucional (riesgos)</t>
  </si>
  <si>
    <t>2c</t>
  </si>
  <si>
    <t>La identificación  de los riesgos relacionados con posibles actos de corrupción en el ejercicio de sus funciones</t>
  </si>
  <si>
    <t>2d</t>
  </si>
  <si>
    <t>3a</t>
  </si>
  <si>
    <t>3b</t>
  </si>
  <si>
    <t>3c</t>
  </si>
  <si>
    <t>4a</t>
  </si>
  <si>
    <t>4b</t>
  </si>
  <si>
    <t>4c</t>
  </si>
  <si>
    <t>5a</t>
  </si>
  <si>
    <t>5b</t>
  </si>
  <si>
    <t>5c</t>
  </si>
  <si>
    <t>5d</t>
  </si>
  <si>
    <t>5e</t>
  </si>
  <si>
    <t>6a</t>
  </si>
  <si>
    <t>6b</t>
  </si>
  <si>
    <t>6c</t>
  </si>
  <si>
    <t>6d</t>
  </si>
  <si>
    <t>6e</t>
  </si>
  <si>
    <t>El jefe de control interno o quien haga sus veces, ha podido evidenciar si en la entidad si el manejo que se ha hecho a los problemas que afectan el cumplimiento de sus metas y objetivos (riesgos) le ha permitido:</t>
  </si>
  <si>
    <t>6f</t>
  </si>
  <si>
    <t>6g</t>
  </si>
  <si>
    <t>7a</t>
  </si>
  <si>
    <t>7d</t>
  </si>
  <si>
    <t>7f</t>
  </si>
  <si>
    <t>7g</t>
  </si>
  <si>
    <t>8h</t>
  </si>
  <si>
    <t>9a</t>
  </si>
  <si>
    <t>9b</t>
  </si>
  <si>
    <t>9c</t>
  </si>
  <si>
    <t>9d</t>
  </si>
  <si>
    <t>9e</t>
  </si>
  <si>
    <t>Implementación  del  Sistema   Integrado  de  Gestión  de la  calidad  ISO  9001. 2015. CERTIFICADOS .</t>
  </si>
  <si>
    <t xml:space="preserve">Sistema   Integado  de  Gestión  de  la   Caliad, Norma  ISO 9001: 2015 Certificados .  Instructivo  I- 006 </t>
  </si>
  <si>
    <t>Sistema   Integado  de  Gestión  de  la   Caliad, Norma  ISO 9001: 2015 Certificados .  Proceso     P-016</t>
  </si>
  <si>
    <t>Sistema   Integado  de  Gestión  de  la   Caliad, Norma  ISO 9001: 2015 Certificados . Proceso   P-017</t>
  </si>
  <si>
    <t>Presentación  de  informes  de  entes  de  control . Procedimiento  P-034</t>
  </si>
  <si>
    <t>Sistema   Integado  de  Gestión  de  la   Caliad, Norma  ISO 9001: 2015 Certificados . Proceso   P-034</t>
  </si>
  <si>
    <r>
      <t xml:space="preserve">  </t>
    </r>
    <r>
      <rPr>
        <sz val="11"/>
        <rFont val="Arial Narrow"/>
        <family val="2"/>
      </rPr>
      <t xml:space="preserve">Decreto 2127- 1945 y  compilado  en el dereto 1083  de  2015 </t>
    </r>
  </si>
  <si>
    <t xml:space="preserve">Sistema   Integado  de  Gestión  de  la   Caliad, Norma  ISO 9001: 2015 Certificados -  Lideres  de procesos </t>
  </si>
  <si>
    <t xml:space="preserve">Sistema   Integado  de  Gestión  de  la   Caliad, Norma  ISO 9001: 2015 Certificados -  Procesos  P.015   procedimiento  de  comunicaciones  y P- 024  procedimiento de  PQRSD,   y  Matriz  de   comunicaciones     R- 102 </t>
  </si>
  <si>
    <t>página   Institucional  de  la  Loteria  del  Tolima, y   aplicativos   de  entes  de  control</t>
  </si>
  <si>
    <t>Sistema   Integado  de  Gestión  de  la   Caliad, Norma  ISO 9001: 2015 Certificados -  Procesos  P.015</t>
  </si>
  <si>
    <t xml:space="preserve">Sistema   Integado  de  Gestión  de  la   Caliad, Norma  ISO 9001: 2015 Certificados -  Procesos  P.013-  Procedimiento  de  Planeación  Estratégica </t>
  </si>
  <si>
    <t xml:space="preserve">Sistema   Integado  de  Gestión  de  la   Caliad,-  Sistema   Operativo  del  SIGC  Norma  ISO 9001: 2015 Certificados </t>
  </si>
  <si>
    <t xml:space="preserve">Sistema   Integado  de  Gestión  de  la   Caliad,-  Sistema   Operativo  del  SIGC  Norma  ISO 9001: 2015 Certificados   Instructivo   preparación  del  sorteo   I- 002 ,Procedimiento  Gestión  Informático  P- 009,  procedimiento  de  Uso    y  manejo  de  Recursos  Informático  P-010- , Procedimiento de  Contraseñas  de  Usuario P-011 </t>
  </si>
  <si>
    <t xml:space="preserve">Sistema   Integado  de  Gestión  de  la   Caliad,-  Sistema   Operativo  del  SIGC  Norma  ISO 9001: 2015 Certificados. Procedimiento   de  Acciones  corretivas  P-033 </t>
  </si>
  <si>
    <t>NA ,  debido a que  somos  una  entidad  de  Decentralizada  de  orden  Departamental</t>
  </si>
  <si>
    <t>Sistema   Integado  de  Gestión  de  la   Caliad,-  Sistema   Operativo  del  SIGC  Norma  ISO 9001: 2015 Certificados. Procedimiento  de  Auditorias  P- 032</t>
  </si>
  <si>
    <t>LOTERIA  DEL  TOLIMA. E.I.C.E.</t>
  </si>
  <si>
    <t xml:space="preserve">El  Sistema  de   Control Interno es   efectivo, debido  a  que   cuenta  con las  herramientas  y mecanismos   necesarios  otorgados  por la   implementación   del  Sistema  Integrado  de  Gestión  de la  Calidad, basados  en los parámetros   exigidos  por la  NTC  ISO  9001.  2015   y  certificados. Instrumentos    que   la oficina  de  Control  Interno  ha  desarrollado y aplicado para  los procesos  de  seguimiento , control  y evaluación  de  todo  el  Sistema   Operativo  de la  Loteria  del  Tolima.  De  igual manera  promueve  la  eficiencia   de  las  operaciones,  ayuda  a reducir  los  riesgos a  que  pudieran  estar  espuestos  los  recursos, aporta  mayor  confiabilidad  a  la información  financiera  y operacional, proporciona  mayor  seguridad  respecto  al  cumplimiento  efectivo  de la  normativiad   y  políticas   aplicables. </t>
  </si>
  <si>
    <r>
      <rPr>
        <b/>
        <sz val="12"/>
        <rFont val="Arial"/>
        <family val="2"/>
      </rPr>
      <t>DEBILIDADES</t>
    </r>
    <r>
      <rPr>
        <sz val="12"/>
        <rFont val="Arial"/>
        <family val="2"/>
      </rPr>
      <t xml:space="preserve"> : La   entidad    cuenta  con  un regimén  normativo, administrativo y operativo epecial,   el  cual  se  rige  bajo  la  Ley  643  de 2001  y   los  Decretos 2127- 1945 y  compilado  en el dereto 1083  de  2015,  que conllevan a la   Institución   ha estabalecer una   modalidad  de vinculación  del personal  y  contractual  específico,  frente  a  otras  entidades  del  Estado. </t>
    </r>
    <r>
      <rPr>
        <b/>
        <sz val="12"/>
        <rFont val="Arial"/>
        <family val="2"/>
      </rPr>
      <t>FORTALEZA.</t>
    </r>
    <r>
      <rPr>
        <sz val="12"/>
        <rFont val="Arial"/>
        <family val="2"/>
      </rPr>
      <t xml:space="preserve"> Liderazgo  y  cumplimiento  de  las  meta  y  objetivos planificados, mediante el  desarrollo  de las   actividades  asignadas  a los   lideres  de los procesos.   </t>
    </r>
  </si>
  <si>
    <t>Sistema   Integado  de  Gestión  de  la   Caliad, Norma  ISO 9001: 2015 Certificados . Matriz    Causa  Raiz 103  y  Matriz  Panes  de  acción  R  106.--Plan   de  mantenimiento  del  Sistema  de  Informática   R- 086</t>
  </si>
  <si>
    <t xml:space="preserve">Plan  Anticorrupción  y  Atención  al   Ciudadano     Ley  1474 del  2011 Art. 73    </t>
  </si>
  <si>
    <r>
      <t>Comité  institucional  de  Control Interno</t>
    </r>
    <r>
      <rPr>
        <sz val="11"/>
        <color rgb="FFFF0000"/>
        <rFont val="Arial Narrow"/>
        <family val="2"/>
      </rPr>
      <t xml:space="preserve">   </t>
    </r>
    <r>
      <rPr>
        <sz val="11"/>
        <rFont val="Arial Narrow"/>
        <family val="2"/>
      </rPr>
      <t>Resolución    Nro 083 del  27  de  diciembre  del 2002</t>
    </r>
  </si>
  <si>
    <r>
      <t xml:space="preserve">Plan   de  mantenimiento  del  Sistema  de  Informática   R- 086 </t>
    </r>
    <r>
      <rPr>
        <sz val="11"/>
        <color rgb="FFFF0000"/>
        <rFont val="Arial Narrow"/>
        <family val="2"/>
      </rPr>
      <t xml:space="preserve"> </t>
    </r>
  </si>
  <si>
    <t>Plan   Anticurrupción  y  Atención  al Ciudadano</t>
  </si>
  <si>
    <t xml:space="preserve">Cumplimiento   al  Decreto  943 de Mayo  21  de  2014, expedido por  el Departamento  Administrativo  dela Función Pública  -  Resolución 114 de  Septiembre  5 del  2018 </t>
  </si>
  <si>
    <t>Implementación del  Código de  Integralidad - Resolución  188  de  12  de  noviembre  del  2019</t>
  </si>
  <si>
    <t>Plan  de   Desarrollo  2020  -  " EL  TOLIMA NOS UNE". Plan  de  acción -  Sistema  Integrado  de  Gestión   del a  calidad  ISO  9001. 2015</t>
  </si>
  <si>
    <t xml:space="preserve">Ordenanzas  Nro 017 de  24 de Abril de  2001 .Organigrama </t>
  </si>
  <si>
    <t xml:space="preserve">Acuerdo 019 de 20011  ,  Por medio  del cual  se  crea   el Manual  de  Funciones, de la  E.C.I.T.  LOTERIA  DEL TOLIMA </t>
  </si>
  <si>
    <t xml:space="preserve">Aplicación   de l metodología    FODA Matiz. R.089 </t>
  </si>
  <si>
    <r>
      <rPr>
        <b/>
        <sz val="14"/>
        <color theme="1"/>
        <rFont val="Arial"/>
        <family val="2"/>
      </rPr>
      <t>DEBILIDAD</t>
    </r>
    <r>
      <rPr>
        <sz val="14"/>
        <color theme="1"/>
        <rFont val="Arial"/>
        <family val="2"/>
      </rPr>
      <t xml:space="preserve">. La   falta   de  una  mayor  asignación  presupuestal  para  la  aplicación  de  una  política  de innovación y  de tecnología  de   punta. </t>
    </r>
    <r>
      <rPr>
        <b/>
        <sz val="14"/>
        <color theme="1"/>
        <rFont val="Arial"/>
        <family val="2"/>
      </rPr>
      <t xml:space="preserve"> FORTALEZA: </t>
    </r>
    <r>
      <rPr>
        <sz val="14"/>
        <color theme="1"/>
        <rFont val="Arial"/>
        <family val="2"/>
      </rPr>
      <t>La  adecuada  utilización   de  los  diferentes  mecanismos  virtuales  y  medios  de  comunicación.</t>
    </r>
  </si>
  <si>
    <t xml:space="preserve">Quienes  controlan los  puntos  criticos  de  los procesos  son los  respectivos líderes </t>
  </si>
  <si>
    <t xml:space="preserve">Se  realiza  seguimiento   a la  matriz  de riesgos   identificados  en cada  uno  de  los procesos </t>
  </si>
  <si>
    <t xml:space="preserve">La  oficina  de  control  interno  identifica  y  realiza  acompañamiento a los lideres  de los  procesos  a fin  de  identificar  los  riesgos  criticos,  para  establecer los  controles  necesarios </t>
  </si>
  <si>
    <t xml:space="preserve">Diciembre  primero  del  2022. Procedimiento  P-013 </t>
  </si>
  <si>
    <t xml:space="preserve">Sistema   Integado  de  Gestión  de  la   Calidad ,-  Sistema   Operativo  del  SIGC  Norma  ISO 9001: 2015 Certificados.  Procedimiento  de  Auditorias  P-032 </t>
  </si>
  <si>
    <t xml:space="preserve">Sistema   Integado  de  Gestión  de  la   Calidad ,-  Sistema   Operativo  del  SIGC  Norma  ISO 9001: 2015 Certificados. Procedimiento   de  Acciones  corretivas  P-033 </t>
  </si>
  <si>
    <t>Sistema   Integado  de  Gestión  de  la   Calidad ,-  Sistema   Operativo  del  SIGC  Norma  ISO 9001: 2015 Certificados. Procedimiento  de  Auditorias  P- 032</t>
  </si>
  <si>
    <t>Sistema   Integado  de  Gestión  de  la   Calidad , Norma  ISO 9001: 2015 Certificados . Proceso   P-034</t>
  </si>
  <si>
    <t>Sistema   Integado  de  Gestión  de  la   Calidad , Norma  ISO 9001: 2015 Certificados . Matriz   R-092</t>
  </si>
  <si>
    <t>Sistema   Integado  de  Gestión  de  la   Calidad , Norma  ISO 9001: 2015 Certificados . Proceso   P-033</t>
  </si>
  <si>
    <t xml:space="preserve">Cuenta  con un  plan  de  auditorias, que le permite  a la  organización , identificar  y  establecer  acciones  de mejora </t>
  </si>
  <si>
    <t xml:space="preserve">Se  establecen  procesos  donde  los    responsables  de  cada   objetivo ,  establecen   controles para   la  mitigación de  los riesgos identificados   en la  organización, llevando al  cumplimiento  de   metas  y   objetivos  Institucionales  </t>
  </si>
  <si>
    <t xml:space="preserve">Si, por  que  La   Loteria   del  Tolima   cuenta  con el  Sistema de Control Interno y  una institucionalidad que le permite la toma de decisiones frente al control,  mediante  la   aplicación  de  cada una de las lineas de defensa;   De  igual  forma,  posee  con  un sistema integrado de gestión cuyo enfoque es por procesos que revisa periodicamente y lo mantiene actualizado frente a las lineas del Plan estrategico,Asi mismo   contiene  los   componentes  del    Modelo  Estandar  de  Control  Interno  MECI,   que se  encuentran  operando  de  manera   coordinada  y articulada al  proceso   del  Sistema   Integrado  de  Gestión  de  la  Calidad, bajo   los parámetros  de  los   requisitos  establecidos  en  la  NORMA  TECNICA  DE  CALIDAD  ISO  9001:2015,  CERTIFICADOS, mediante   previos  procesos  de  auditoria  a  los procesos  establecidos   en el Sistema  Operativo de la    LOTERIA   DEL  TOLIMA . </t>
  </si>
  <si>
    <r>
      <rPr>
        <b/>
        <sz val="14"/>
        <color theme="1"/>
        <rFont val="Arial"/>
        <family val="2"/>
      </rPr>
      <t>DEBILIDAD.</t>
    </r>
    <r>
      <rPr>
        <sz val="14"/>
        <color theme="1"/>
        <rFont val="Arial"/>
        <family val="2"/>
      </rPr>
      <t xml:space="preserve"> </t>
    </r>
    <r>
      <rPr>
        <sz val="14"/>
        <rFont val="Arial"/>
        <family val="2"/>
      </rPr>
      <t xml:space="preserve"> Falta   de  asignación  de personal  de apoyo  para  la   oficina  de  Control Interno.</t>
    </r>
    <r>
      <rPr>
        <b/>
        <sz val="14"/>
        <rFont val="Arial"/>
        <family val="2"/>
      </rPr>
      <t xml:space="preserve"> FORTALEZA</t>
    </r>
    <r>
      <rPr>
        <sz val="14"/>
        <rFont val="Arial"/>
        <family val="2"/>
      </rPr>
      <t>: Se  identifican  mecanismos  de  verificación   para la mitigación de  los riesgos identificados  en los  procesos  de la organización,  que  conducen al cumplimiento  de   metas  y   objetivos  Institucionales, para    la  eficacia  y eficiencia en la gestión de la  entidad. De  igual manera,  se  realiza la  valoración  del  riesgo ,  para  la  no materialización de  los mismos  y   la  introducción  de  los  correctivos  necesarios.</t>
    </r>
  </si>
  <si>
    <t xml:space="preserve">    Enero  a   Junio   30   del     2025</t>
  </si>
  <si>
    <t xml:space="preserve">La  entidad  cuenta  con una  institucionalidad,  que  le  permite  operar  con una  estructura,  de  planificación,operativa y   administrativa, que  conlleva al  cumplimiento  de  los  objetivos  trazados  en un plan de  acción   de manera  eficaz  y eficiente  en el  desarrollo  de  sus  actividades;  Así,  como el  de realizar acciones  de  seguimiento, control y evaluación,  que  le  permita  al  Sistema  de  Control  Interno  contar  con  las líneas  de defensa  para la  toma  de  decisiones  frente  al  control   y  su gestión  y  mitigación  del riesgo, siendo un componente clave para la gestion y el control interno. La oficina de control interno juega un papel crucial en la evaluación independiente de la eficacia de estos controles y en la gestión de riesgos. </t>
  </si>
  <si>
    <r>
      <rPr>
        <b/>
        <sz val="14"/>
        <color theme="1"/>
        <rFont val="Arial"/>
        <family val="2"/>
      </rPr>
      <t xml:space="preserve">DEBILIDAD. </t>
    </r>
    <r>
      <rPr>
        <sz val="14"/>
        <color theme="1"/>
        <rFont val="Arial"/>
        <family val="2"/>
      </rPr>
      <t>Que  en el Sistema  Operativo  de la  entidad, siempre persistiran los  riesgos inherentes  y residuales, debido  a  que su  funcionalidad  esta sometida  a cambios  normativos,   políticos, sociales,  económicos, ambientales  y  de  salubridad.</t>
    </r>
    <r>
      <rPr>
        <b/>
        <sz val="14"/>
        <color theme="1"/>
        <rFont val="Arial"/>
        <family val="2"/>
      </rPr>
      <t>FORTALEZA</t>
    </r>
    <r>
      <rPr>
        <sz val="14"/>
        <color theme="1"/>
        <rFont val="Arial"/>
        <family val="2"/>
      </rPr>
      <t>: La  participación  de los lideres  de  procesos  en la identificación, clasificación, seguimiento  y  control  de los  riesgos, los  cuales  se  identifican,  se  agrupan y  se  evaluan mediante  la  Martiz  de  riesgos  construida   en  mesas   de  trabajo.</t>
    </r>
  </si>
  <si>
    <r>
      <rPr>
        <b/>
        <sz val="14"/>
        <color theme="1"/>
        <rFont val="Arial"/>
        <family val="2"/>
      </rPr>
      <t>DEBILIDAD.</t>
    </r>
    <r>
      <rPr>
        <sz val="14"/>
        <color theme="1"/>
        <rFont val="Arial"/>
        <family val="2"/>
      </rPr>
      <t xml:space="preserve"> Desconocimiento  de la  normatividad  de la  entidad. </t>
    </r>
    <r>
      <rPr>
        <b/>
        <sz val="14"/>
        <color theme="1"/>
        <rFont val="Arial"/>
        <family val="2"/>
      </rPr>
      <t xml:space="preserve"> FORTALEZA</t>
    </r>
    <r>
      <rPr>
        <sz val="14"/>
        <color theme="1"/>
        <rFont val="Arial"/>
        <family val="2"/>
      </rPr>
      <t>:</t>
    </r>
    <r>
      <rPr>
        <b/>
        <sz val="14"/>
        <color theme="1"/>
        <rFont val="Arial"/>
        <family val="2"/>
      </rPr>
      <t xml:space="preserve"> </t>
    </r>
    <r>
      <rPr>
        <sz val="14"/>
        <color theme="1"/>
        <rFont val="Arial"/>
        <family val="2"/>
      </rPr>
      <t>La  identificación  de los  riesgos  por parte de los  lideres  de  procesos,el control , seguimiento  y  evaluación  para  su  mitigación y no materialización  de  los  mismos.</t>
    </r>
  </si>
  <si>
    <t xml:space="preserve">Plan   Anticorrupción  y  Atención  al Ciudadano </t>
  </si>
  <si>
    <t>Se  cuenta  con el Comité  Institucional de Coordinacion de  Control  Interno, donde  hace  parte la gerencia, quien mide  y evalua  la  eficacia  y efectividad  de las  acciones  realizadas.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</si>
</sst>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2" x14ac:knownFonts="1">
    <font>
      <sz val="11"/>
      <color theme="1"/>
      <name val="Calibri"/>
      <family val="2"/>
      <scheme val="minor"/>
    </font>
    <font>
      <sz val="11"/>
      <name val="Arial"/>
      <family val="2"/>
    </font>
    <font>
      <b/>
      <sz val="12"/>
      <name val="Arial"/>
      <family val="2"/>
    </font>
    <font>
      <sz val="11"/>
      <color theme="1"/>
      <name val="Calibri"/>
      <family val="2"/>
      <scheme val="minor"/>
    </font>
    <font>
      <sz val="11"/>
      <color theme="0"/>
      <name val="Calibri"/>
      <family val="2"/>
      <scheme val="minor"/>
    </font>
    <font>
      <b/>
      <sz val="12"/>
      <color theme="0"/>
      <name val="Arial"/>
      <family val="2"/>
    </font>
    <font>
      <b/>
      <sz val="20"/>
      <color theme="0"/>
      <name val="Arial Narrow"/>
      <family val="2"/>
    </font>
    <font>
      <sz val="11"/>
      <color theme="1"/>
      <name val="Arial Narrow"/>
      <family val="2"/>
    </font>
    <font>
      <sz val="11"/>
      <color theme="0"/>
      <name val="Arial Narrow"/>
      <family val="2"/>
    </font>
    <font>
      <b/>
      <sz val="18"/>
      <color theme="0"/>
      <name val="Arial"/>
      <family val="2"/>
    </font>
    <font>
      <sz val="20"/>
      <color rgb="FFFF0000"/>
      <name val="Arial"/>
      <family val="2"/>
    </font>
    <font>
      <b/>
      <sz val="12"/>
      <color rgb="FFFF0000"/>
      <name val="Arial"/>
      <family val="2"/>
    </font>
    <font>
      <b/>
      <sz val="10"/>
      <color rgb="FFFF0000"/>
      <name val="Arial"/>
      <family val="2"/>
    </font>
    <font>
      <b/>
      <sz val="10"/>
      <color theme="1"/>
      <name val="Arial"/>
      <family val="2"/>
    </font>
    <font>
      <b/>
      <sz val="16"/>
      <color theme="1"/>
      <name val="Arial"/>
      <family val="2"/>
    </font>
    <font>
      <b/>
      <i/>
      <sz val="10"/>
      <name val="Arial"/>
      <family val="2"/>
    </font>
    <font>
      <b/>
      <i/>
      <sz val="10"/>
      <color theme="1"/>
      <name val="Arial"/>
      <family val="2"/>
    </font>
    <font>
      <b/>
      <sz val="16"/>
      <color theme="0"/>
      <name val="Arial Narrow"/>
      <family val="2"/>
    </font>
    <font>
      <b/>
      <sz val="12"/>
      <color theme="0"/>
      <name val="Arial Narrow"/>
      <family val="2"/>
    </font>
    <font>
      <b/>
      <sz val="10"/>
      <color theme="0"/>
      <name val="Arial Narrow"/>
      <family val="2"/>
    </font>
    <font>
      <sz val="12"/>
      <color theme="1"/>
      <name val="Arial"/>
      <family val="2"/>
    </font>
    <font>
      <sz val="10"/>
      <color theme="1"/>
      <name val="Calibri"/>
      <family val="2"/>
      <scheme val="minor"/>
    </font>
    <font>
      <sz val="10"/>
      <color theme="0"/>
      <name val="Arial Narrow"/>
      <family val="2"/>
    </font>
    <font>
      <sz val="14"/>
      <color theme="0"/>
      <name val="Arial"/>
      <family val="2"/>
    </font>
    <font>
      <sz val="10"/>
      <color theme="1"/>
      <name val="Arial Narrow"/>
      <family val="2"/>
    </font>
    <font>
      <b/>
      <sz val="11"/>
      <name val="Arial Narrow"/>
      <family val="2"/>
    </font>
    <font>
      <sz val="10"/>
      <name val="Arial Narrow"/>
      <family val="2"/>
    </font>
    <font>
      <sz val="16"/>
      <color theme="0"/>
      <name val="Calibri"/>
      <family val="2"/>
      <scheme val="minor"/>
    </font>
    <font>
      <b/>
      <sz val="18"/>
      <name val="Calibri"/>
      <family val="2"/>
      <scheme val="minor"/>
    </font>
    <font>
      <sz val="10"/>
      <name val="Arial"/>
      <family val="2"/>
    </font>
    <font>
      <b/>
      <sz val="14"/>
      <name val="Arial Narrow"/>
      <family val="2"/>
    </font>
    <font>
      <b/>
      <u/>
      <sz val="11"/>
      <name val="Arial Narrow"/>
      <family val="2"/>
    </font>
    <font>
      <b/>
      <sz val="10"/>
      <name val="Arial Narrow"/>
      <family val="2"/>
    </font>
    <font>
      <sz val="12"/>
      <name val="Times New Roman"/>
      <family val="1"/>
    </font>
    <font>
      <b/>
      <sz val="9"/>
      <name val="Arial Narrow"/>
      <family val="2"/>
    </font>
    <font>
      <sz val="9"/>
      <name val="Arial Narrow"/>
      <family val="2"/>
    </font>
    <font>
      <sz val="11"/>
      <name val="Arial Narrow"/>
      <family val="2"/>
    </font>
    <font>
      <b/>
      <sz val="10"/>
      <color theme="1"/>
      <name val="Arial Narrow"/>
      <family val="2"/>
    </font>
    <font>
      <sz val="15"/>
      <name val="Arial Narrow"/>
      <family val="2"/>
    </font>
    <font>
      <sz val="15"/>
      <color theme="1"/>
      <name val="Arial Narrow"/>
      <family val="2"/>
    </font>
    <font>
      <sz val="8"/>
      <name val="Calibri"/>
      <family val="2"/>
      <scheme val="minor"/>
    </font>
    <font>
      <b/>
      <sz val="18"/>
      <color theme="1"/>
      <name val="Calibri"/>
      <family val="2"/>
      <scheme val="minor"/>
    </font>
    <font>
      <b/>
      <sz val="20"/>
      <name val="Arial"/>
      <family val="2"/>
    </font>
    <font>
      <sz val="18"/>
      <name val="Arial Narrow"/>
      <family val="2"/>
    </font>
    <font>
      <sz val="12"/>
      <color theme="0"/>
      <name val="Arial Narrow"/>
      <family val="2"/>
    </font>
    <font>
      <b/>
      <sz val="14"/>
      <color theme="0"/>
      <name val="Arial Narrow"/>
      <family val="2"/>
    </font>
    <font>
      <sz val="12"/>
      <name val="Arial Narrow"/>
      <family val="2"/>
    </font>
    <font>
      <sz val="12"/>
      <color theme="1"/>
      <name val="Arial Narrow"/>
      <family val="2"/>
    </font>
    <font>
      <sz val="14"/>
      <color theme="1"/>
      <name val="Calibri"/>
      <family val="2"/>
      <scheme val="minor"/>
    </font>
    <font>
      <b/>
      <sz val="14"/>
      <name val="Arial"/>
      <family val="2"/>
    </font>
    <font>
      <sz val="18"/>
      <color theme="1"/>
      <name val="Arial"/>
      <family val="2"/>
    </font>
    <font>
      <b/>
      <sz val="24"/>
      <color theme="0"/>
      <name val="Arial Narrow"/>
      <family val="2"/>
    </font>
    <font>
      <b/>
      <sz val="20"/>
      <color theme="0"/>
      <name val="Arial"/>
      <family val="2"/>
    </font>
    <font>
      <sz val="20"/>
      <color theme="1"/>
      <name val="Calibri"/>
      <family val="2"/>
      <scheme val="minor"/>
    </font>
    <font>
      <b/>
      <u/>
      <sz val="20"/>
      <color theme="0"/>
      <name val="Arial"/>
      <family val="2"/>
    </font>
    <font>
      <sz val="25"/>
      <color theme="1"/>
      <name val="Calibri"/>
      <family val="2"/>
      <scheme val="minor"/>
    </font>
    <font>
      <sz val="25"/>
      <color theme="1"/>
      <name val="Arial Narrow"/>
      <family val="2"/>
    </font>
    <font>
      <sz val="12"/>
      <name val="Arial"/>
      <family val="2"/>
    </font>
    <font>
      <sz val="11"/>
      <color rgb="FFFF0000"/>
      <name val="Arial Narrow"/>
      <family val="2"/>
    </font>
    <font>
      <sz val="14"/>
      <color theme="1"/>
      <name val="Arial"/>
      <family val="2"/>
    </font>
    <font>
      <b/>
      <sz val="14"/>
      <color theme="1"/>
      <name val="Arial"/>
      <family val="2"/>
    </font>
    <font>
      <sz val="14"/>
      <name val="Arial"/>
      <family val="2"/>
    </font>
  </fonts>
  <fills count="17">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9" tint="0.39997558519241921"/>
        <bgColor indexed="64"/>
      </patternFill>
    </fill>
  </fills>
  <borders count="94">
    <border>
      <left/>
      <right/>
      <top/>
      <bottom/>
      <diagonal/>
    </border>
    <border>
      <left/>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auto="1"/>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top style="medium">
        <color indexed="64"/>
      </top>
      <bottom style="thin">
        <color indexed="64"/>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5">
    <xf numFmtId="0" fontId="0" fillId="0" borderId="0"/>
    <xf numFmtId="9" fontId="3" fillId="0" borderId="0" applyFont="0" applyFill="0" applyBorder="0" applyAlignment="0" applyProtection="0"/>
    <xf numFmtId="0" fontId="21" fillId="0" borderId="0"/>
    <xf numFmtId="0" fontId="29" fillId="0" borderId="0"/>
    <xf numFmtId="0" fontId="33" fillId="0" borderId="0"/>
  </cellStyleXfs>
  <cellXfs count="340">
    <xf numFmtId="0" fontId="0" fillId="0" borderId="0" xfId="0"/>
    <xf numFmtId="0" fontId="0" fillId="4" borderId="0" xfId="0" applyFill="1"/>
    <xf numFmtId="0" fontId="0" fillId="4" borderId="17" xfId="0" applyFill="1" applyBorder="1"/>
    <xf numFmtId="0" fontId="0" fillId="4" borderId="18" xfId="0" applyFill="1" applyBorder="1"/>
    <xf numFmtId="0" fontId="0" fillId="4" borderId="19" xfId="0" applyFill="1" applyBorder="1"/>
    <xf numFmtId="0" fontId="0" fillId="4" borderId="20" xfId="0" applyFill="1" applyBorder="1"/>
    <xf numFmtId="0" fontId="0" fillId="4" borderId="0" xfId="0" applyFill="1" applyBorder="1"/>
    <xf numFmtId="0" fontId="7" fillId="4" borderId="0" xfId="0" applyFont="1" applyFill="1" applyBorder="1" applyAlignment="1">
      <alignment horizontal="center"/>
    </xf>
    <xf numFmtId="0" fontId="0" fillId="4" borderId="21" xfId="0" applyFill="1" applyBorder="1"/>
    <xf numFmtId="164" fontId="7" fillId="4" borderId="0" xfId="0" applyNumberFormat="1" applyFont="1" applyFill="1" applyBorder="1" applyAlignment="1">
      <alignment horizontal="center"/>
    </xf>
    <xf numFmtId="0" fontId="8" fillId="4" borderId="0" xfId="0" applyFont="1" applyFill="1" applyBorder="1" applyAlignment="1">
      <alignment vertical="center"/>
    </xf>
    <xf numFmtId="0" fontId="10" fillId="4" borderId="0" xfId="0" applyFont="1" applyFill="1" applyBorder="1" applyAlignment="1">
      <alignment horizontal="center" vertical="center"/>
    </xf>
    <xf numFmtId="0" fontId="11" fillId="4" borderId="0" xfId="0" applyFont="1" applyFill="1" applyBorder="1"/>
    <xf numFmtId="0" fontId="9" fillId="4" borderId="0"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0" xfId="0" applyFont="1" applyFill="1" applyBorder="1" applyAlignment="1">
      <alignment horizontal="center" vertical="center"/>
    </xf>
    <xf numFmtId="0" fontId="12" fillId="4" borderId="0" xfId="0" applyFont="1" applyFill="1" applyBorder="1" applyAlignment="1">
      <alignment wrapText="1"/>
    </xf>
    <xf numFmtId="0" fontId="13" fillId="4" borderId="0" xfId="0" applyFont="1" applyFill="1" applyAlignment="1">
      <alignment wrapText="1"/>
    </xf>
    <xf numFmtId="0" fontId="0" fillId="0" borderId="0" xfId="0" applyBorder="1"/>
    <xf numFmtId="0" fontId="5" fillId="0" borderId="0" xfId="0" applyFont="1" applyFill="1" applyBorder="1" applyAlignment="1">
      <alignment vertical="center"/>
    </xf>
    <xf numFmtId="9" fontId="2" fillId="0" borderId="0" xfId="0" applyNumberFormat="1" applyFont="1" applyFill="1" applyBorder="1" applyAlignment="1">
      <alignment vertical="center"/>
    </xf>
    <xf numFmtId="0" fontId="2" fillId="4" borderId="21" xfId="0" applyFont="1" applyFill="1" applyBorder="1" applyAlignment="1">
      <alignment vertical="center"/>
    </xf>
    <xf numFmtId="0" fontId="2" fillId="4" borderId="0" xfId="0" applyFont="1" applyFill="1" applyBorder="1" applyAlignment="1">
      <alignment vertical="center"/>
    </xf>
    <xf numFmtId="0" fontId="0" fillId="0" borderId="0" xfId="0" applyFill="1" applyBorder="1"/>
    <xf numFmtId="0" fontId="0" fillId="0" borderId="3" xfId="0" applyBorder="1"/>
    <xf numFmtId="0" fontId="5" fillId="4" borderId="0" xfId="0" applyFont="1" applyFill="1" applyBorder="1" applyAlignment="1">
      <alignment vertical="center"/>
    </xf>
    <xf numFmtId="0" fontId="2" fillId="4" borderId="0" xfId="0" applyFont="1" applyFill="1" applyBorder="1" applyAlignment="1">
      <alignment horizontal="left" vertical="center"/>
    </xf>
    <xf numFmtId="0" fontId="15" fillId="4" borderId="0" xfId="0" applyFont="1" applyFill="1" applyBorder="1" applyAlignment="1">
      <alignment vertical="center"/>
    </xf>
    <xf numFmtId="0" fontId="16" fillId="4" borderId="0" xfId="0" applyFont="1" applyFill="1" applyBorder="1"/>
    <xf numFmtId="0" fontId="0" fillId="4" borderId="34" xfId="0" applyFill="1" applyBorder="1"/>
    <xf numFmtId="0" fontId="0" fillId="4" borderId="35" xfId="0" applyFill="1" applyBorder="1"/>
    <xf numFmtId="0" fontId="0" fillId="4" borderId="36" xfId="0" applyFill="1" applyBorder="1"/>
    <xf numFmtId="0" fontId="20" fillId="0" borderId="0" xfId="0" applyFont="1" applyBorder="1" applyAlignment="1">
      <alignment horizontal="center" wrapText="1"/>
    </xf>
    <xf numFmtId="0" fontId="5" fillId="4" borderId="0" xfId="0" applyFont="1" applyFill="1" applyBorder="1" applyAlignment="1">
      <alignment horizontal="center" vertical="center" wrapText="1"/>
    </xf>
    <xf numFmtId="0" fontId="4" fillId="4" borderId="0" xfId="0" applyFont="1" applyFill="1" applyBorder="1"/>
    <xf numFmtId="0" fontId="5" fillId="4" borderId="0" xfId="0" applyFont="1" applyFill="1" applyBorder="1" applyAlignment="1">
      <alignment horizontal="left" vertical="center"/>
    </xf>
    <xf numFmtId="9" fontId="5" fillId="4" borderId="0" xfId="0" applyNumberFormat="1" applyFont="1" applyFill="1" applyBorder="1" applyAlignment="1">
      <alignment horizontal="center" vertical="center"/>
    </xf>
    <xf numFmtId="0" fontId="4" fillId="4" borderId="0" xfId="0" applyFont="1" applyFill="1" applyBorder="1" applyAlignment="1">
      <alignment horizontal="left"/>
    </xf>
    <xf numFmtId="0" fontId="22" fillId="0" borderId="0" xfId="2" applyFont="1" applyFill="1" applyAlignment="1" applyProtection="1">
      <alignment vertical="center"/>
      <protection locked="0"/>
    </xf>
    <xf numFmtId="49" fontId="24" fillId="4" borderId="0" xfId="2" applyNumberFormat="1" applyFont="1" applyFill="1" applyAlignment="1" applyProtection="1">
      <alignment vertical="center"/>
      <protection locked="0"/>
    </xf>
    <xf numFmtId="0" fontId="24" fillId="4" borderId="0" xfId="2" applyFont="1" applyFill="1" applyAlignment="1" applyProtection="1">
      <alignment vertical="center"/>
      <protection locked="0"/>
    </xf>
    <xf numFmtId="9" fontId="26" fillId="4" borderId="0" xfId="2" applyNumberFormat="1" applyFont="1" applyFill="1" applyAlignment="1" applyProtection="1">
      <alignment vertical="center"/>
      <protection locked="0"/>
    </xf>
    <xf numFmtId="9" fontId="22" fillId="4" borderId="0" xfId="1" applyFont="1" applyFill="1" applyAlignment="1" applyProtection="1">
      <alignment vertical="center"/>
      <protection locked="0"/>
    </xf>
    <xf numFmtId="9" fontId="22" fillId="4" borderId="0" xfId="2" applyNumberFormat="1" applyFont="1" applyFill="1" applyAlignment="1" applyProtection="1">
      <alignment vertical="center"/>
      <protection locked="0"/>
    </xf>
    <xf numFmtId="0" fontId="26" fillId="4" borderId="0" xfId="2" applyFont="1" applyFill="1" applyAlignment="1" applyProtection="1">
      <alignment vertical="center"/>
      <protection locked="0"/>
    </xf>
    <xf numFmtId="0" fontId="26" fillId="0" borderId="0" xfId="3" applyFont="1" applyProtection="1"/>
    <xf numFmtId="0" fontId="7" fillId="4" borderId="0" xfId="0" applyFont="1" applyFill="1"/>
    <xf numFmtId="0" fontId="7" fillId="0" borderId="0" xfId="0" applyFont="1"/>
    <xf numFmtId="0" fontId="36" fillId="0" borderId="0" xfId="0" applyFont="1" applyAlignment="1">
      <alignment vertical="top"/>
    </xf>
    <xf numFmtId="49" fontId="36" fillId="0" borderId="0" xfId="0" applyNumberFormat="1" applyFont="1" applyAlignment="1">
      <alignment horizontal="center" vertical="top"/>
    </xf>
    <xf numFmtId="0" fontId="22" fillId="4" borderId="0" xfId="2" applyFont="1" applyFill="1" applyAlignment="1" applyProtection="1">
      <alignment vertical="center"/>
      <protection locked="0"/>
    </xf>
    <xf numFmtId="0" fontId="26" fillId="4" borderId="0" xfId="3" applyFont="1" applyFill="1" applyBorder="1" applyProtection="1"/>
    <xf numFmtId="0" fontId="26" fillId="4" borderId="59" xfId="3" applyFont="1" applyFill="1" applyBorder="1" applyAlignment="1" applyProtection="1">
      <alignment vertical="top" wrapText="1"/>
    </xf>
    <xf numFmtId="0" fontId="26" fillId="4" borderId="0" xfId="3" applyFont="1" applyFill="1" applyBorder="1" applyAlignment="1" applyProtection="1">
      <alignment vertical="top" wrapText="1"/>
    </xf>
    <xf numFmtId="0" fontId="26" fillId="4" borderId="60" xfId="3" applyFont="1" applyFill="1" applyBorder="1" applyAlignment="1" applyProtection="1">
      <alignment vertical="top" wrapText="1"/>
    </xf>
    <xf numFmtId="0" fontId="26" fillId="4" borderId="59" xfId="3" applyFont="1" applyFill="1" applyBorder="1" applyAlignment="1" applyProtection="1">
      <alignment horizontal="left" vertical="top"/>
    </xf>
    <xf numFmtId="0" fontId="26" fillId="4" borderId="60" xfId="3" applyFont="1" applyFill="1" applyBorder="1" applyAlignment="1" applyProtection="1">
      <alignment horizontal="left" vertical="top"/>
    </xf>
    <xf numFmtId="0" fontId="26" fillId="4" borderId="59" xfId="3" applyFont="1" applyFill="1" applyBorder="1" applyProtection="1"/>
    <xf numFmtId="0" fontId="34" fillId="4" borderId="0" xfId="4" applyFont="1" applyFill="1" applyBorder="1" applyAlignment="1" applyProtection="1">
      <alignment horizontal="left" vertical="top" wrapText="1" readingOrder="1"/>
    </xf>
    <xf numFmtId="0" fontId="26" fillId="4" borderId="60" xfId="3" applyFont="1" applyFill="1" applyBorder="1" applyProtection="1"/>
    <xf numFmtId="0" fontId="26" fillId="4" borderId="72" xfId="3" applyFont="1" applyFill="1" applyBorder="1" applyProtection="1"/>
    <xf numFmtId="0" fontId="26" fillId="4" borderId="73" xfId="3" applyFont="1" applyFill="1" applyBorder="1" applyProtection="1"/>
    <xf numFmtId="0" fontId="26" fillId="4" borderId="74" xfId="3" applyFont="1" applyFill="1" applyBorder="1" applyProtection="1"/>
    <xf numFmtId="0" fontId="34" fillId="4" borderId="0" xfId="0" applyFont="1" applyFill="1" applyBorder="1" applyAlignment="1" applyProtection="1">
      <alignment horizontal="left" vertical="center" wrapText="1"/>
    </xf>
    <xf numFmtId="0" fontId="35" fillId="4" borderId="0" xfId="0" applyFont="1" applyFill="1" applyBorder="1" applyAlignment="1" applyProtection="1">
      <alignment horizontal="left" vertical="top" wrapText="1"/>
    </xf>
    <xf numFmtId="0" fontId="26" fillId="4" borderId="0" xfId="3" quotePrefix="1" applyFont="1" applyFill="1" applyBorder="1" applyAlignment="1" applyProtection="1">
      <alignment horizontal="left" vertical="center" wrapText="1"/>
    </xf>
    <xf numFmtId="0" fontId="26" fillId="4" borderId="60" xfId="3" applyFont="1" applyFill="1" applyBorder="1" applyAlignment="1" applyProtection="1"/>
    <xf numFmtId="0" fontId="32" fillId="4" borderId="0" xfId="3" applyFont="1" applyFill="1" applyBorder="1" applyAlignment="1" applyProtection="1">
      <alignment horizontal="left" vertical="center" wrapText="1"/>
    </xf>
    <xf numFmtId="0" fontId="26" fillId="4" borderId="0" xfId="3" applyFont="1" applyFill="1" applyBorder="1" applyAlignment="1" applyProtection="1">
      <alignment horizontal="left" vertical="center" wrapText="1"/>
    </xf>
    <xf numFmtId="0" fontId="7" fillId="4" borderId="0" xfId="0" applyFont="1" applyFill="1" applyAlignment="1">
      <alignment vertical="center"/>
    </xf>
    <xf numFmtId="0" fontId="7" fillId="0" borderId="0" xfId="0" applyFont="1" applyAlignment="1">
      <alignment vertical="center"/>
    </xf>
    <xf numFmtId="0" fontId="8" fillId="4" borderId="0" xfId="0" applyFont="1" applyFill="1"/>
    <xf numFmtId="0" fontId="8" fillId="4" borderId="0" xfId="0" applyNumberFormat="1" applyFont="1" applyFill="1"/>
    <xf numFmtId="0" fontId="8" fillId="0" borderId="0" xfId="0" applyFont="1" applyAlignment="1">
      <alignment vertical="top"/>
    </xf>
    <xf numFmtId="0" fontId="8" fillId="0" borderId="0" xfId="0" applyNumberFormat="1" applyFont="1" applyAlignment="1">
      <alignment vertical="top"/>
    </xf>
    <xf numFmtId="0" fontId="8" fillId="0" borderId="0" xfId="0" applyNumberFormat="1" applyFont="1"/>
    <xf numFmtId="0" fontId="44" fillId="9" borderId="11" xfId="0" applyFont="1" applyFill="1" applyBorder="1" applyAlignment="1">
      <alignment horizontal="center" vertical="top" wrapText="1"/>
    </xf>
    <xf numFmtId="49" fontId="45" fillId="5" borderId="7" xfId="0" applyNumberFormat="1" applyFont="1" applyFill="1" applyBorder="1" applyAlignment="1">
      <alignment horizontal="center" vertical="center" wrapText="1"/>
    </xf>
    <xf numFmtId="0" fontId="45" fillId="5" borderId="7" xfId="0" applyFont="1" applyFill="1" applyBorder="1" applyAlignment="1">
      <alignment horizontal="center" vertical="center" wrapText="1"/>
    </xf>
    <xf numFmtId="0" fontId="45" fillId="5" borderId="10" xfId="0" applyFont="1" applyFill="1" applyBorder="1" applyAlignment="1">
      <alignment horizontal="center" vertical="center" wrapText="1"/>
    </xf>
    <xf numFmtId="0" fontId="45" fillId="5" borderId="5" xfId="0" applyFont="1" applyFill="1" applyBorder="1" applyAlignment="1">
      <alignment horizontal="center" vertical="center" wrapText="1"/>
    </xf>
    <xf numFmtId="0" fontId="46" fillId="0" borderId="2" xfId="0" applyFont="1" applyBorder="1" applyAlignment="1">
      <alignment horizontal="center" vertical="center" wrapText="1"/>
    </xf>
    <xf numFmtId="0" fontId="46" fillId="0" borderId="2" xfId="0" applyFont="1" applyBorder="1" applyAlignment="1">
      <alignment horizontal="left" vertical="center" wrapText="1"/>
    </xf>
    <xf numFmtId="0" fontId="46" fillId="0" borderId="3" xfId="0" applyFont="1" applyBorder="1" applyAlignment="1">
      <alignment horizontal="center" vertical="center" wrapText="1"/>
    </xf>
    <xf numFmtId="0" fontId="47" fillId="0" borderId="3" xfId="0" applyFont="1" applyFill="1" applyBorder="1" applyAlignment="1">
      <alignment horizontal="left" vertical="center" wrapText="1"/>
    </xf>
    <xf numFmtId="0" fontId="46" fillId="0" borderId="3" xfId="0" applyFont="1" applyBorder="1" applyAlignment="1">
      <alignment horizontal="left" vertical="center" wrapText="1"/>
    </xf>
    <xf numFmtId="0" fontId="46" fillId="0" borderId="4" xfId="0" applyFont="1" applyBorder="1" applyAlignment="1">
      <alignment horizontal="center" vertical="center" wrapText="1"/>
    </xf>
    <xf numFmtId="0" fontId="46" fillId="0" borderId="4" xfId="0" applyFont="1" applyBorder="1" applyAlignment="1">
      <alignment horizontal="left" vertical="center" wrapText="1"/>
    </xf>
    <xf numFmtId="0" fontId="46" fillId="0" borderId="3" xfId="0" applyFont="1" applyFill="1" applyBorder="1" applyAlignment="1">
      <alignment horizontal="center" vertical="center" wrapText="1"/>
    </xf>
    <xf numFmtId="0" fontId="46" fillId="0" borderId="2" xfId="0" applyFont="1" applyFill="1" applyBorder="1" applyAlignment="1">
      <alignment horizontal="left" vertical="center" wrapText="1"/>
    </xf>
    <xf numFmtId="0" fontId="9" fillId="13" borderId="3" xfId="0" applyFont="1" applyFill="1" applyBorder="1" applyAlignment="1">
      <alignment horizontal="center" vertical="center" wrapText="1"/>
    </xf>
    <xf numFmtId="0" fontId="50" fillId="0" borderId="0" xfId="0" applyFont="1" applyBorder="1" applyAlignment="1">
      <alignment horizontal="center" wrapText="1"/>
    </xf>
    <xf numFmtId="0" fontId="9" fillId="15"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11" borderId="3"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51" fillId="2" borderId="3" xfId="0" applyFont="1" applyFill="1" applyBorder="1" applyAlignment="1">
      <alignment horizontal="center" vertical="center"/>
    </xf>
    <xf numFmtId="0" fontId="42" fillId="0" borderId="3" xfId="0" applyFont="1" applyFill="1" applyBorder="1" applyAlignment="1">
      <alignment horizontal="center" vertical="center"/>
    </xf>
    <xf numFmtId="0" fontId="53" fillId="0" borderId="0" xfId="0" applyFont="1" applyBorder="1" applyAlignment="1">
      <alignment horizontal="center"/>
    </xf>
    <xf numFmtId="0" fontId="52" fillId="12" borderId="31"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25" fillId="4" borderId="0" xfId="2" applyNumberFormat="1" applyFont="1" applyFill="1" applyBorder="1" applyAlignment="1" applyProtection="1">
      <alignment vertical="center" wrapText="1"/>
    </xf>
    <xf numFmtId="0" fontId="35" fillId="4" borderId="0" xfId="2" applyFont="1" applyFill="1" applyBorder="1" applyAlignment="1" applyProtection="1">
      <alignment vertical="center" wrapText="1"/>
    </xf>
    <xf numFmtId="0" fontId="36" fillId="0" borderId="0" xfId="0" applyNumberFormat="1" applyFont="1" applyAlignment="1" applyProtection="1">
      <alignment horizontal="center" vertical="top"/>
      <protection hidden="1"/>
    </xf>
    <xf numFmtId="0" fontId="38" fillId="0" borderId="79" xfId="0" applyFont="1" applyBorder="1" applyAlignment="1" applyProtection="1">
      <alignment horizontal="center" vertical="center" wrapText="1"/>
      <protection hidden="1"/>
    </xf>
    <xf numFmtId="0" fontId="8" fillId="0" borderId="0" xfId="0" applyNumberFormat="1" applyFont="1" applyAlignment="1" applyProtection="1">
      <alignment horizontal="center" vertical="top"/>
      <protection hidden="1"/>
    </xf>
    <xf numFmtId="0" fontId="39" fillId="0" borderId="9" xfId="0" applyFont="1" applyFill="1" applyBorder="1" applyAlignment="1" applyProtection="1">
      <alignment horizontal="center" vertical="center" wrapText="1"/>
      <protection hidden="1"/>
    </xf>
    <xf numFmtId="49" fontId="8" fillId="0" borderId="0" xfId="0" applyNumberFormat="1" applyFont="1" applyAlignment="1" applyProtection="1">
      <alignment horizontal="center" vertical="top"/>
      <protection hidden="1"/>
    </xf>
    <xf numFmtId="0" fontId="38" fillId="0" borderId="9" xfId="0" applyFont="1" applyBorder="1" applyAlignment="1" applyProtection="1">
      <alignment horizontal="center" vertical="center" wrapText="1"/>
      <protection hidden="1"/>
    </xf>
    <xf numFmtId="0" fontId="38" fillId="0" borderId="80" xfId="0" applyFont="1" applyBorder="1" applyAlignment="1" applyProtection="1">
      <alignment horizontal="center" vertical="center" wrapText="1"/>
      <protection hidden="1"/>
    </xf>
    <xf numFmtId="0" fontId="8" fillId="0" borderId="0" xfId="0" applyNumberFormat="1" applyFont="1" applyAlignment="1" applyProtection="1">
      <alignment vertical="top"/>
      <protection hidden="1"/>
    </xf>
    <xf numFmtId="0" fontId="38" fillId="0" borderId="79" xfId="0" applyFont="1" applyFill="1" applyBorder="1" applyAlignment="1" applyProtection="1">
      <alignment horizontal="center" vertical="center" wrapText="1"/>
      <protection hidden="1"/>
    </xf>
    <xf numFmtId="0" fontId="43" fillId="0" borderId="2" xfId="0" applyFont="1" applyBorder="1" applyAlignment="1" applyProtection="1">
      <alignment horizontal="center" vertical="center" wrapText="1"/>
      <protection locked="0"/>
    </xf>
    <xf numFmtId="0" fontId="36" fillId="0" borderId="79" xfId="0" applyFont="1" applyBorder="1" applyAlignment="1" applyProtection="1">
      <alignment horizontal="left" vertical="center" wrapText="1"/>
      <protection locked="0"/>
    </xf>
    <xf numFmtId="0" fontId="43" fillId="0" borderId="3" xfId="0" applyFont="1" applyFill="1" applyBorder="1" applyAlignment="1" applyProtection="1">
      <alignment horizontal="center" vertical="center" wrapText="1"/>
      <protection locked="0"/>
    </xf>
    <xf numFmtId="0" fontId="7" fillId="0" borderId="9" xfId="0" applyFont="1" applyFill="1" applyBorder="1" applyAlignment="1" applyProtection="1">
      <alignment horizontal="left" vertical="center" wrapText="1"/>
      <protection locked="0"/>
    </xf>
    <xf numFmtId="0" fontId="43" fillId="0" borderId="3" xfId="0" applyFont="1" applyBorder="1" applyAlignment="1" applyProtection="1">
      <alignment horizontal="center" vertical="center" wrapText="1"/>
      <protection locked="0"/>
    </xf>
    <xf numFmtId="0" fontId="36" fillId="0" borderId="9" xfId="0" applyFont="1" applyBorder="1" applyAlignment="1" applyProtection="1">
      <alignment horizontal="left" vertical="center" wrapText="1"/>
      <protection locked="0"/>
    </xf>
    <xf numFmtId="0" fontId="43" fillId="0" borderId="4" xfId="0" applyFont="1" applyBorder="1" applyAlignment="1" applyProtection="1">
      <alignment horizontal="center" vertical="center" wrapText="1"/>
      <protection locked="0"/>
    </xf>
    <xf numFmtId="0" fontId="36" fillId="0" borderId="80" xfId="0" applyFont="1" applyBorder="1" applyAlignment="1" applyProtection="1">
      <alignment horizontal="left" vertical="center" wrapText="1"/>
      <protection locked="0"/>
    </xf>
    <xf numFmtId="0" fontId="43" fillId="0" borderId="2" xfId="0" applyFont="1" applyFill="1" applyBorder="1" applyAlignment="1" applyProtection="1">
      <alignment horizontal="center" vertical="center" wrapText="1"/>
      <protection locked="0"/>
    </xf>
    <xf numFmtId="0" fontId="19" fillId="2" borderId="82" xfId="2" applyFont="1" applyFill="1" applyBorder="1" applyAlignment="1" applyProtection="1">
      <alignment horizontal="center" vertical="center"/>
    </xf>
    <xf numFmtId="0" fontId="19" fillId="2" borderId="82" xfId="2" applyFont="1" applyFill="1" applyBorder="1" applyAlignment="1" applyProtection="1">
      <alignment horizontal="center" vertical="center" wrapText="1"/>
    </xf>
    <xf numFmtId="0" fontId="1" fillId="0" borderId="2" xfId="0" applyFont="1" applyBorder="1" applyAlignment="1" applyProtection="1">
      <alignment horizontal="left" vertical="center" wrapText="1"/>
      <protection hidden="1"/>
    </xf>
    <xf numFmtId="0" fontId="0" fillId="0" borderId="2" xfId="0" applyBorder="1" applyAlignment="1" applyProtection="1">
      <alignment horizontal="center" vertical="center"/>
      <protection hidden="1"/>
    </xf>
    <xf numFmtId="0" fontId="40" fillId="0" borderId="84" xfId="0" applyFont="1" applyFill="1" applyBorder="1" applyAlignment="1" applyProtection="1">
      <alignment vertical="center" wrapText="1"/>
      <protection hidden="1"/>
    </xf>
    <xf numFmtId="0" fontId="1" fillId="0" borderId="3" xfId="0" applyFont="1" applyBorder="1" applyAlignment="1" applyProtection="1">
      <alignment horizontal="left" vertical="center" wrapText="1"/>
      <protection hidden="1"/>
    </xf>
    <xf numFmtId="0" fontId="0" fillId="0" borderId="3" xfId="0" applyBorder="1" applyAlignment="1" applyProtection="1">
      <alignment horizontal="center" vertical="center"/>
      <protection hidden="1"/>
    </xf>
    <xf numFmtId="0" fontId="40" fillId="0" borderId="85" xfId="0" applyFont="1" applyFill="1" applyBorder="1" applyAlignment="1" applyProtection="1">
      <alignment vertical="center" wrapText="1"/>
      <protection hidden="1"/>
    </xf>
    <xf numFmtId="0" fontId="1" fillId="0" borderId="4" xfId="0" applyFont="1" applyBorder="1" applyAlignment="1" applyProtection="1">
      <alignment horizontal="left" vertical="center" wrapText="1"/>
      <protection hidden="1"/>
    </xf>
    <xf numFmtId="0" fontId="0" fillId="0" borderId="4" xfId="0" applyBorder="1" applyAlignment="1" applyProtection="1">
      <alignment horizontal="center" vertical="center"/>
      <protection hidden="1"/>
    </xf>
    <xf numFmtId="0" fontId="40" fillId="0" borderId="86" xfId="0" applyFont="1" applyFill="1" applyBorder="1" applyAlignment="1" applyProtection="1">
      <alignment vertical="center" wrapText="1"/>
      <protection hidden="1"/>
    </xf>
    <xf numFmtId="0" fontId="1" fillId="0" borderId="7" xfId="0" applyFont="1" applyBorder="1" applyAlignment="1" applyProtection="1">
      <alignment horizontal="left" vertical="center" wrapText="1"/>
      <protection hidden="1"/>
    </xf>
    <xf numFmtId="0" fontId="0" fillId="0" borderId="7" xfId="0" applyBorder="1" applyAlignment="1" applyProtection="1">
      <alignment horizontal="center" vertical="center"/>
      <protection hidden="1"/>
    </xf>
    <xf numFmtId="0" fontId="40" fillId="0" borderId="5" xfId="0" applyFont="1" applyFill="1" applyBorder="1" applyAlignment="1" applyProtection="1">
      <alignment vertical="center" wrapText="1"/>
      <protection hidden="1"/>
    </xf>
    <xf numFmtId="0" fontId="1" fillId="0" borderId="6" xfId="0" applyFont="1" applyBorder="1" applyAlignment="1" applyProtection="1">
      <alignment horizontal="left" vertical="center" wrapText="1"/>
      <protection hidden="1"/>
    </xf>
    <xf numFmtId="0" fontId="0" fillId="0" borderId="6" xfId="0" applyBorder="1" applyAlignment="1" applyProtection="1">
      <alignment horizontal="center" vertical="center"/>
      <protection hidden="1"/>
    </xf>
    <xf numFmtId="0" fontId="40" fillId="0" borderId="6" xfId="0" applyFont="1" applyFill="1" applyBorder="1" applyAlignment="1" applyProtection="1">
      <alignment vertical="center" wrapText="1"/>
      <protection hidden="1"/>
    </xf>
    <xf numFmtId="0" fontId="40" fillId="0" borderId="3" xfId="0" applyFont="1" applyFill="1" applyBorder="1" applyAlignment="1" applyProtection="1">
      <alignment vertical="center" wrapText="1"/>
      <protection hidden="1"/>
    </xf>
    <xf numFmtId="0" fontId="40" fillId="0" borderId="7" xfId="0" applyFont="1" applyFill="1" applyBorder="1" applyAlignment="1" applyProtection="1">
      <alignment vertical="center" wrapText="1"/>
      <protection hidden="1"/>
    </xf>
    <xf numFmtId="0" fontId="48" fillId="0" borderId="22" xfId="0" applyFont="1" applyBorder="1" applyAlignment="1" applyProtection="1">
      <alignment horizontal="center" vertical="center"/>
      <protection hidden="1"/>
    </xf>
    <xf numFmtId="9" fontId="0" fillId="0" borderId="90" xfId="0" applyNumberFormat="1" applyBorder="1" applyAlignment="1" applyProtection="1">
      <alignment horizontal="center" vertical="center"/>
      <protection hidden="1"/>
    </xf>
    <xf numFmtId="9" fontId="0" fillId="0" borderId="91" xfId="0" applyNumberFormat="1" applyBorder="1" applyAlignment="1" applyProtection="1">
      <alignment horizontal="center" vertical="center"/>
      <protection hidden="1"/>
    </xf>
    <xf numFmtId="9" fontId="0" fillId="0" borderId="92" xfId="0" applyNumberFormat="1" applyBorder="1" applyAlignment="1" applyProtection="1">
      <alignment horizontal="center" vertical="center"/>
      <protection hidden="1"/>
    </xf>
    <xf numFmtId="9" fontId="0" fillId="0" borderId="93" xfId="0" applyNumberFormat="1" applyBorder="1" applyAlignment="1" applyProtection="1">
      <alignment horizontal="center" vertical="center"/>
      <protection hidden="1"/>
    </xf>
    <xf numFmtId="9" fontId="0" fillId="0" borderId="6" xfId="0" applyNumberFormat="1" applyBorder="1" applyAlignment="1" applyProtection="1">
      <alignment horizontal="center" vertical="center"/>
      <protection hidden="1"/>
    </xf>
    <xf numFmtId="9" fontId="0" fillId="0" borderId="3" xfId="0" applyNumberFormat="1" applyBorder="1" applyAlignment="1" applyProtection="1">
      <alignment horizontal="center" vertical="center"/>
      <protection hidden="1"/>
    </xf>
    <xf numFmtId="9" fontId="0" fillId="0" borderId="7" xfId="0" applyNumberFormat="1" applyBorder="1" applyAlignment="1" applyProtection="1">
      <alignment horizontal="center" vertical="center"/>
      <protection hidden="1"/>
    </xf>
    <xf numFmtId="9" fontId="42" fillId="2" borderId="26" xfId="0" applyNumberFormat="1" applyFont="1" applyFill="1" applyBorder="1" applyAlignment="1" applyProtection="1">
      <alignment horizontal="center" vertical="center"/>
      <protection hidden="1"/>
    </xf>
    <xf numFmtId="0" fontId="42" fillId="0" borderId="3" xfId="0" applyFont="1" applyFill="1" applyBorder="1" applyAlignment="1" applyProtection="1">
      <alignment horizontal="center" vertical="center"/>
      <protection hidden="1"/>
    </xf>
    <xf numFmtId="9" fontId="14" fillId="14" borderId="3" xfId="0" applyNumberFormat="1" applyFont="1" applyFill="1" applyBorder="1" applyAlignment="1" applyProtection="1">
      <alignment horizontal="center" vertical="center"/>
      <protection hidden="1"/>
    </xf>
    <xf numFmtId="49" fontId="55" fillId="4" borderId="2" xfId="0" applyNumberFormat="1" applyFont="1" applyFill="1" applyBorder="1" applyAlignment="1" applyProtection="1">
      <alignment horizontal="center" vertical="center" wrapText="1"/>
      <protection locked="0"/>
    </xf>
    <xf numFmtId="49" fontId="55" fillId="4" borderId="3" xfId="0" applyNumberFormat="1" applyFont="1" applyFill="1" applyBorder="1" applyAlignment="1" applyProtection="1">
      <alignment horizontal="center" vertical="center" wrapText="1"/>
      <protection locked="0"/>
    </xf>
    <xf numFmtId="49" fontId="55" fillId="4" borderId="4" xfId="0" applyNumberFormat="1" applyFont="1" applyFill="1" applyBorder="1" applyAlignment="1" applyProtection="1">
      <alignment horizontal="center" vertical="center" wrapText="1"/>
      <protection locked="0"/>
    </xf>
    <xf numFmtId="49" fontId="18" fillId="5" borderId="7" xfId="0" applyNumberFormat="1" applyFont="1" applyFill="1" applyBorder="1" applyAlignment="1" applyProtection="1">
      <alignment horizontal="center" vertical="center" wrapText="1"/>
      <protection hidden="1"/>
    </xf>
    <xf numFmtId="0" fontId="18" fillId="5" borderId="7" xfId="0" applyFont="1" applyFill="1" applyBorder="1" applyAlignment="1" applyProtection="1">
      <alignment horizontal="center" vertical="center" wrapText="1"/>
      <protection hidden="1"/>
    </xf>
    <xf numFmtId="0" fontId="18" fillId="5" borderId="10" xfId="0" applyFont="1" applyFill="1" applyBorder="1" applyAlignment="1" applyProtection="1">
      <alignment horizontal="center" vertical="center" wrapText="1"/>
      <protection hidden="1"/>
    </xf>
    <xf numFmtId="0" fontId="18" fillId="5" borderId="81" xfId="0" applyFont="1" applyFill="1" applyBorder="1" applyAlignment="1" applyProtection="1">
      <alignment horizontal="center" vertical="center" wrapText="1"/>
      <protection hidden="1"/>
    </xf>
    <xf numFmtId="0" fontId="0" fillId="0" borderId="0" xfId="0" applyProtection="1">
      <protection hidden="1"/>
    </xf>
    <xf numFmtId="9" fontId="0" fillId="0" borderId="0" xfId="1" applyFont="1" applyProtection="1">
      <protection hidden="1"/>
    </xf>
    <xf numFmtId="10" fontId="0" fillId="0" borderId="0" xfId="1" applyNumberFormat="1" applyFont="1" applyProtection="1">
      <protection hidden="1"/>
    </xf>
    <xf numFmtId="49" fontId="44" fillId="9" borderId="14" xfId="0" applyNumberFormat="1" applyFont="1" applyFill="1" applyBorder="1" applyAlignment="1">
      <alignment horizontal="center" vertical="center" wrapText="1"/>
    </xf>
    <xf numFmtId="49" fontId="44" fillId="9" borderId="11" xfId="0" applyNumberFormat="1" applyFont="1" applyFill="1" applyBorder="1" applyAlignment="1">
      <alignment horizontal="center" vertical="center" wrapText="1"/>
    </xf>
    <xf numFmtId="0" fontId="58" fillId="0" borderId="9" xfId="0" applyFont="1" applyBorder="1" applyAlignment="1" applyProtection="1">
      <alignment horizontal="left" vertical="center" wrapText="1"/>
      <protection locked="0"/>
    </xf>
    <xf numFmtId="0" fontId="36" fillId="0" borderId="9" xfId="0" applyFont="1" applyBorder="1" applyAlignment="1" applyProtection="1">
      <alignment vertical="center" wrapText="1"/>
      <protection locked="0"/>
    </xf>
    <xf numFmtId="0" fontId="36" fillId="0" borderId="79" xfId="0" applyFont="1" applyFill="1" applyBorder="1" applyAlignment="1" applyProtection="1">
      <alignment horizontal="left" vertical="center" wrapText="1"/>
      <protection locked="0"/>
    </xf>
    <xf numFmtId="0" fontId="30" fillId="0" borderId="58" xfId="3" applyFont="1" applyBorder="1" applyAlignment="1" applyProtection="1">
      <alignment horizontal="center" vertical="center" wrapText="1"/>
    </xf>
    <xf numFmtId="0" fontId="30" fillId="0" borderId="55" xfId="3" applyFont="1" applyBorder="1" applyAlignment="1" applyProtection="1">
      <alignment horizontal="center" vertical="center" wrapText="1"/>
    </xf>
    <xf numFmtId="0" fontId="30" fillId="0" borderId="8" xfId="3" applyFont="1" applyBorder="1" applyAlignment="1" applyProtection="1">
      <alignment horizontal="center" vertical="center" wrapText="1"/>
    </xf>
    <xf numFmtId="0" fontId="26" fillId="0" borderId="59" xfId="3" quotePrefix="1" applyFont="1" applyBorder="1" applyAlignment="1" applyProtection="1">
      <alignment horizontal="left" vertical="center" wrapText="1"/>
    </xf>
    <xf numFmtId="0" fontId="26" fillId="0" borderId="0" xfId="3" quotePrefix="1" applyFont="1" applyBorder="1" applyAlignment="1" applyProtection="1">
      <alignment horizontal="left" vertical="center" wrapText="1"/>
    </xf>
    <xf numFmtId="0" fontId="26" fillId="0" borderId="60" xfId="3" quotePrefix="1" applyFont="1" applyBorder="1" applyAlignment="1" applyProtection="1">
      <alignment horizontal="left" vertical="center" wrapText="1"/>
    </xf>
    <xf numFmtId="0" fontId="31" fillId="4" borderId="59" xfId="3" quotePrefix="1" applyFont="1" applyFill="1" applyBorder="1" applyAlignment="1" applyProtection="1">
      <alignment horizontal="left" vertical="top" wrapText="1"/>
    </xf>
    <xf numFmtId="0" fontId="25" fillId="4" borderId="0" xfId="3" quotePrefix="1" applyFont="1" applyFill="1" applyBorder="1" applyAlignment="1" applyProtection="1">
      <alignment horizontal="left" vertical="top" wrapText="1"/>
    </xf>
    <xf numFmtId="0" fontId="25" fillId="4" borderId="60" xfId="3" quotePrefix="1" applyFont="1" applyFill="1" applyBorder="1" applyAlignment="1" applyProtection="1">
      <alignment horizontal="left" vertical="top" wrapText="1"/>
    </xf>
    <xf numFmtId="0" fontId="26" fillId="4" borderId="59" xfId="3" quotePrefix="1" applyFont="1" applyFill="1" applyBorder="1" applyAlignment="1" applyProtection="1">
      <alignment horizontal="left" vertical="top" wrapText="1"/>
    </xf>
    <xf numFmtId="0" fontId="26" fillId="4" borderId="0" xfId="3" quotePrefix="1" applyFont="1" applyFill="1" applyBorder="1" applyAlignment="1" applyProtection="1">
      <alignment horizontal="left" vertical="top" wrapText="1"/>
    </xf>
    <xf numFmtId="0" fontId="26" fillId="4" borderId="60" xfId="3" quotePrefix="1" applyFont="1" applyFill="1" applyBorder="1" applyAlignment="1" applyProtection="1">
      <alignment horizontal="left" vertical="top" wrapText="1"/>
    </xf>
    <xf numFmtId="0" fontId="34" fillId="16" borderId="61" xfId="4" applyFont="1" applyFill="1" applyBorder="1" applyAlignment="1" applyProtection="1">
      <alignment horizontal="center" vertical="center" wrapText="1"/>
    </xf>
    <xf numFmtId="0" fontId="34" fillId="16" borderId="62" xfId="4" applyFont="1" applyFill="1" applyBorder="1" applyAlignment="1" applyProtection="1">
      <alignment horizontal="center" vertical="center" wrapText="1"/>
    </xf>
    <xf numFmtId="0" fontId="34" fillId="16" borderId="63" xfId="3" applyFont="1" applyFill="1" applyBorder="1" applyAlignment="1" applyProtection="1">
      <alignment horizontal="center" vertical="center"/>
    </xf>
    <xf numFmtId="0" fontId="34" fillId="16" borderId="64" xfId="3" applyFont="1" applyFill="1" applyBorder="1" applyAlignment="1" applyProtection="1">
      <alignment horizontal="center" vertical="center"/>
    </xf>
    <xf numFmtId="0" fontId="34" fillId="4" borderId="75" xfId="4" applyFont="1" applyFill="1" applyBorder="1" applyAlignment="1" applyProtection="1">
      <alignment horizontal="left" vertical="center" wrapText="1" readingOrder="1"/>
    </xf>
    <xf numFmtId="0" fontId="34" fillId="4" borderId="76" xfId="4" applyFont="1" applyFill="1" applyBorder="1" applyAlignment="1" applyProtection="1">
      <alignment horizontal="left" vertical="center" wrapText="1" readingOrder="1"/>
    </xf>
    <xf numFmtId="0" fontId="35" fillId="0" borderId="65" xfId="3" applyFont="1" applyFill="1" applyBorder="1" applyAlignment="1" applyProtection="1">
      <alignment horizontal="left" vertical="center" wrapText="1"/>
    </xf>
    <xf numFmtId="0" fontId="35" fillId="0" borderId="66" xfId="3" applyFont="1" applyFill="1" applyBorder="1" applyAlignment="1" applyProtection="1">
      <alignment horizontal="left" vertical="center" wrapText="1"/>
    </xf>
    <xf numFmtId="0" fontId="34" fillId="4" borderId="67" xfId="0" applyFont="1" applyFill="1" applyBorder="1" applyAlignment="1" applyProtection="1">
      <alignment horizontal="left" vertical="center" wrapText="1"/>
    </xf>
    <xf numFmtId="0" fontId="34" fillId="4" borderId="68" xfId="0" applyFont="1" applyFill="1" applyBorder="1" applyAlignment="1" applyProtection="1">
      <alignment horizontal="left" vertical="center" wrapText="1"/>
    </xf>
    <xf numFmtId="0" fontId="35" fillId="0" borderId="69" xfId="3" applyFont="1" applyFill="1" applyBorder="1" applyAlignment="1" applyProtection="1">
      <alignment horizontal="left" vertical="center" wrapText="1"/>
    </xf>
    <xf numFmtId="0" fontId="35" fillId="0" borderId="70" xfId="3" applyFont="1" applyFill="1" applyBorder="1" applyAlignment="1" applyProtection="1">
      <alignment horizontal="left" vertical="center" wrapText="1"/>
    </xf>
    <xf numFmtId="0" fontId="35" fillId="0" borderId="69" xfId="3" applyFont="1" applyFill="1" applyBorder="1" applyAlignment="1" applyProtection="1">
      <alignment horizontal="left" vertical="top" wrapText="1"/>
    </xf>
    <xf numFmtId="0" fontId="35" fillId="0" borderId="70" xfId="3" applyFont="1" applyFill="1" applyBorder="1" applyAlignment="1" applyProtection="1">
      <alignment horizontal="left" vertical="top" wrapText="1"/>
    </xf>
    <xf numFmtId="0" fontId="26" fillId="4" borderId="59" xfId="3" applyFont="1" applyFill="1" applyBorder="1" applyAlignment="1" applyProtection="1">
      <alignment horizontal="left" vertical="top" wrapText="1"/>
    </xf>
    <xf numFmtId="0" fontId="26" fillId="4" borderId="0" xfId="3" applyFont="1" applyFill="1" applyBorder="1" applyAlignment="1" applyProtection="1">
      <alignment horizontal="left" vertical="top" wrapText="1"/>
    </xf>
    <xf numFmtId="0" fontId="26" fillId="4" borderId="60" xfId="3" applyFont="1" applyFill="1" applyBorder="1" applyAlignment="1" applyProtection="1">
      <alignment horizontal="left" vertical="top" wrapText="1"/>
    </xf>
    <xf numFmtId="0" fontId="26" fillId="4" borderId="0" xfId="3" applyFont="1" applyFill="1" applyBorder="1" applyAlignment="1" applyProtection="1"/>
    <xf numFmtId="0" fontId="34" fillId="4" borderId="77" xfId="0" applyFont="1" applyFill="1" applyBorder="1" applyAlignment="1" applyProtection="1">
      <alignment horizontal="left" vertical="center" wrapText="1"/>
    </xf>
    <xf numFmtId="0" fontId="34" fillId="4" borderId="78" xfId="0" applyFont="1" applyFill="1" applyBorder="1" applyAlignment="1" applyProtection="1">
      <alignment horizontal="left" vertical="center" wrapText="1"/>
    </xf>
    <xf numFmtId="0" fontId="17" fillId="2" borderId="44" xfId="2" applyNumberFormat="1" applyFont="1" applyFill="1" applyBorder="1" applyAlignment="1" applyProtection="1">
      <alignment horizontal="center" vertical="center" wrapText="1"/>
    </xf>
    <xf numFmtId="0" fontId="17" fillId="2" borderId="45" xfId="2" applyNumberFormat="1" applyFont="1" applyFill="1" applyBorder="1" applyAlignment="1" applyProtection="1">
      <alignment horizontal="center" vertical="center" wrapText="1"/>
    </xf>
    <xf numFmtId="0" fontId="25" fillId="7" borderId="50" xfId="2" applyNumberFormat="1" applyFont="1" applyFill="1" applyBorder="1" applyAlignment="1" applyProtection="1">
      <alignment horizontal="center" vertical="center"/>
    </xf>
    <xf numFmtId="0" fontId="25" fillId="7" borderId="51" xfId="2" applyNumberFormat="1" applyFont="1" applyFill="1" applyBorder="1" applyAlignment="1" applyProtection="1">
      <alignment horizontal="center" vertical="center"/>
    </xf>
    <xf numFmtId="0" fontId="26" fillId="0" borderId="56" xfId="2" applyFont="1" applyFill="1" applyBorder="1" applyAlignment="1" applyProtection="1">
      <alignment horizontal="justify" vertical="center" wrapText="1"/>
    </xf>
    <xf numFmtId="0" fontId="26" fillId="0" borderId="57" xfId="2" applyFont="1" applyFill="1" applyBorder="1" applyAlignment="1" applyProtection="1">
      <alignment horizontal="justify" vertical="center" wrapText="1"/>
    </xf>
    <xf numFmtId="0" fontId="25" fillId="8" borderId="52" xfId="2" applyNumberFormat="1" applyFont="1" applyFill="1" applyBorder="1" applyAlignment="1" applyProtection="1">
      <alignment horizontal="center" vertical="center" wrapText="1"/>
    </xf>
    <xf numFmtId="0" fontId="25" fillId="8" borderId="53" xfId="2" applyNumberFormat="1" applyFont="1" applyFill="1" applyBorder="1" applyAlignment="1" applyProtection="1">
      <alignment horizontal="center" vertical="center"/>
    </xf>
    <xf numFmtId="0" fontId="26" fillId="0" borderId="53" xfId="2" applyFont="1" applyFill="1" applyBorder="1" applyAlignment="1" applyProtection="1">
      <alignment horizontal="justify" vertical="center" wrapText="1"/>
    </xf>
    <xf numFmtId="0" fontId="26" fillId="0" borderId="54" xfId="2" applyFont="1" applyFill="1" applyBorder="1" applyAlignment="1" applyProtection="1">
      <alignment horizontal="justify" vertical="center" wrapText="1"/>
    </xf>
    <xf numFmtId="0" fontId="37" fillId="4" borderId="71" xfId="2" applyNumberFormat="1" applyFont="1" applyFill="1" applyBorder="1" applyAlignment="1" applyProtection="1">
      <alignment horizontal="center" vertical="center" wrapText="1"/>
    </xf>
    <xf numFmtId="0" fontId="24" fillId="4" borderId="71" xfId="2" applyFont="1" applyFill="1" applyBorder="1" applyAlignment="1" applyProtection="1">
      <alignment horizontal="center" vertical="center" wrapText="1"/>
    </xf>
    <xf numFmtId="0" fontId="17" fillId="2" borderId="46" xfId="2" applyNumberFormat="1" applyFont="1" applyFill="1" applyBorder="1" applyAlignment="1" applyProtection="1">
      <alignment horizontal="center" vertical="center" wrapText="1"/>
    </xf>
    <xf numFmtId="0" fontId="25" fillId="14" borderId="47" xfId="2" applyNumberFormat="1" applyFont="1" applyFill="1" applyBorder="1" applyAlignment="1" applyProtection="1">
      <alignment horizontal="center" vertical="center"/>
    </xf>
    <xf numFmtId="0" fontId="25" fillId="14" borderId="48" xfId="2" applyNumberFormat="1" applyFont="1" applyFill="1" applyBorder="1" applyAlignment="1" applyProtection="1">
      <alignment horizontal="center" vertical="center"/>
    </xf>
    <xf numFmtId="0" fontId="26" fillId="0" borderId="48" xfId="2" applyFont="1" applyFill="1" applyBorder="1" applyAlignment="1" applyProtection="1">
      <alignment horizontal="justify" vertical="center" wrapText="1"/>
    </xf>
    <xf numFmtId="0" fontId="26" fillId="0" borderId="49" xfId="2" applyFont="1" applyFill="1" applyBorder="1" applyAlignment="1" applyProtection="1">
      <alignment horizontal="justify" vertical="center" wrapText="1"/>
    </xf>
    <xf numFmtId="0" fontId="44" fillId="9" borderId="11" xfId="0" applyFont="1" applyFill="1" applyBorder="1" applyAlignment="1">
      <alignment horizontal="center" vertical="center" wrapText="1"/>
    </xf>
    <xf numFmtId="0" fontId="44" fillId="9" borderId="12" xfId="0" applyFont="1" applyFill="1" applyBorder="1" applyAlignment="1">
      <alignment horizontal="center" vertical="center" wrapText="1"/>
    </xf>
    <xf numFmtId="0" fontId="44" fillId="9" borderId="6" xfId="0" applyFont="1" applyFill="1" applyBorder="1" applyAlignment="1">
      <alignment horizontal="center" vertical="center" wrapText="1"/>
    </xf>
    <xf numFmtId="49" fontId="44" fillId="9" borderId="14" xfId="0" applyNumberFormat="1" applyFont="1" applyFill="1" applyBorder="1" applyAlignment="1">
      <alignment horizontal="center" vertical="center" wrapText="1"/>
    </xf>
    <xf numFmtId="49" fontId="44" fillId="9" borderId="15" xfId="0" applyNumberFormat="1" applyFont="1" applyFill="1" applyBorder="1" applyAlignment="1">
      <alignment horizontal="center" vertical="center" wrapText="1"/>
    </xf>
    <xf numFmtId="49" fontId="44" fillId="9" borderId="16" xfId="0" applyNumberFormat="1" applyFont="1" applyFill="1" applyBorder="1" applyAlignment="1">
      <alignment horizontal="center" vertical="center" wrapText="1"/>
    </xf>
    <xf numFmtId="49" fontId="44" fillId="6" borderId="11" xfId="0" applyNumberFormat="1" applyFont="1" applyFill="1" applyBorder="1" applyAlignment="1">
      <alignment horizontal="center" vertical="center" wrapText="1"/>
    </xf>
    <xf numFmtId="49" fontId="44" fillId="6" borderId="12" xfId="0" applyNumberFormat="1" applyFont="1" applyFill="1" applyBorder="1" applyAlignment="1">
      <alignment horizontal="center" vertical="center" wrapText="1"/>
    </xf>
    <xf numFmtId="49" fontId="44" fillId="6" borderId="13" xfId="0" applyNumberFormat="1" applyFont="1" applyFill="1" applyBorder="1" applyAlignment="1">
      <alignment horizontal="center" vertical="center" wrapText="1"/>
    </xf>
    <xf numFmtId="49" fontId="44" fillId="10" borderId="11" xfId="0" applyNumberFormat="1" applyFont="1" applyFill="1" applyBorder="1" applyAlignment="1">
      <alignment horizontal="center" vertical="center" wrapText="1"/>
    </xf>
    <xf numFmtId="49" fontId="44" fillId="10" borderId="12" xfId="0" applyNumberFormat="1" applyFont="1" applyFill="1" applyBorder="1" applyAlignment="1">
      <alignment horizontal="center" vertical="center" wrapText="1"/>
    </xf>
    <xf numFmtId="49" fontId="44" fillId="10" borderId="13" xfId="0" applyNumberFormat="1" applyFont="1" applyFill="1" applyBorder="1" applyAlignment="1">
      <alignment horizontal="center" vertical="center" wrapText="1"/>
    </xf>
    <xf numFmtId="49" fontId="44" fillId="2" borderId="11" xfId="0" applyNumberFormat="1" applyFont="1" applyFill="1" applyBorder="1" applyAlignment="1">
      <alignment horizontal="center" vertical="center" wrapText="1"/>
    </xf>
    <xf numFmtId="49" fontId="44" fillId="2" borderId="12" xfId="0" applyNumberFormat="1" applyFont="1" applyFill="1" applyBorder="1" applyAlignment="1">
      <alignment horizontal="center" vertical="center" wrapText="1"/>
    </xf>
    <xf numFmtId="49" fontId="44" fillId="2" borderId="13" xfId="0" applyNumberFormat="1" applyFont="1" applyFill="1" applyBorder="1" applyAlignment="1">
      <alignment horizontal="center" vertical="center" wrapText="1"/>
    </xf>
    <xf numFmtId="49" fontId="44" fillId="11" borderId="11" xfId="0" applyNumberFormat="1" applyFont="1" applyFill="1" applyBorder="1" applyAlignment="1">
      <alignment horizontal="center" vertical="center" wrapText="1"/>
    </xf>
    <xf numFmtId="49" fontId="44" fillId="11" borderId="12" xfId="0" applyNumberFormat="1" applyFont="1" applyFill="1" applyBorder="1" applyAlignment="1">
      <alignment horizontal="center" vertical="center" wrapText="1"/>
    </xf>
    <xf numFmtId="49" fontId="44" fillId="11" borderId="13" xfId="0" applyNumberFormat="1" applyFont="1" applyFill="1" applyBorder="1" applyAlignment="1">
      <alignment horizontal="center" vertical="center" wrapText="1"/>
    </xf>
    <xf numFmtId="49" fontId="44" fillId="9" borderId="11" xfId="0" applyNumberFormat="1" applyFont="1" applyFill="1" applyBorder="1" applyAlignment="1">
      <alignment horizontal="center" vertical="center" wrapText="1"/>
    </xf>
    <xf numFmtId="49" fontId="44" fillId="9" borderId="12" xfId="0" applyNumberFormat="1" applyFont="1" applyFill="1" applyBorder="1" applyAlignment="1">
      <alignment horizontal="center" vertical="center" wrapText="1"/>
    </xf>
    <xf numFmtId="49" fontId="44" fillId="9" borderId="13" xfId="0" applyNumberFormat="1" applyFont="1" applyFill="1" applyBorder="1" applyAlignment="1">
      <alignment horizontal="center" vertical="center" wrapText="1"/>
    </xf>
    <xf numFmtId="49" fontId="44" fillId="10" borderId="3" xfId="0" applyNumberFormat="1" applyFont="1" applyFill="1" applyBorder="1" applyAlignment="1">
      <alignment horizontal="center" vertical="center" wrapText="1"/>
    </xf>
    <xf numFmtId="0" fontId="44" fillId="10" borderId="3" xfId="0" applyFont="1" applyFill="1" applyBorder="1" applyAlignment="1">
      <alignment horizontal="center" vertical="center" wrapText="1"/>
    </xf>
    <xf numFmtId="49" fontId="44" fillId="10" borderId="15" xfId="0" applyNumberFormat="1" applyFont="1" applyFill="1" applyBorder="1" applyAlignment="1">
      <alignment horizontal="center" vertical="center" wrapText="1"/>
    </xf>
    <xf numFmtId="0" fontId="44" fillId="10" borderId="12" xfId="0" applyFont="1" applyFill="1" applyBorder="1" applyAlignment="1">
      <alignment horizontal="center" vertical="center" wrapText="1"/>
    </xf>
    <xf numFmtId="49" fontId="44" fillId="2" borderId="14" xfId="0" applyNumberFormat="1" applyFont="1" applyFill="1" applyBorder="1" applyAlignment="1">
      <alignment horizontal="center" vertical="center" wrapText="1"/>
    </xf>
    <xf numFmtId="49" fontId="44" fillId="2" borderId="15" xfId="0" applyNumberFormat="1" applyFont="1" applyFill="1" applyBorder="1" applyAlignment="1">
      <alignment horizontal="center" vertical="center" wrapText="1"/>
    </xf>
    <xf numFmtId="49" fontId="44" fillId="2" borderId="16" xfId="0" applyNumberFormat="1" applyFont="1" applyFill="1" applyBorder="1" applyAlignment="1">
      <alignment horizontal="center" vertical="center" wrapText="1"/>
    </xf>
    <xf numFmtId="0" fontId="44" fillId="2" borderId="11" xfId="0" applyFont="1" applyFill="1" applyBorder="1" applyAlignment="1">
      <alignment horizontal="center" vertical="center" wrapText="1"/>
    </xf>
    <xf numFmtId="0" fontId="44" fillId="2" borderId="12" xfId="0" applyFont="1" applyFill="1" applyBorder="1" applyAlignment="1">
      <alignment horizontal="center" vertical="center" wrapText="1"/>
    </xf>
    <xf numFmtId="0" fontId="44" fillId="2" borderId="13" xfId="0" applyFont="1" applyFill="1" applyBorder="1" applyAlignment="1">
      <alignment horizontal="center" vertical="center" wrapText="1"/>
    </xf>
    <xf numFmtId="49" fontId="45" fillId="5" borderId="0" xfId="0" applyNumberFormat="1" applyFont="1" applyFill="1" applyBorder="1" applyAlignment="1">
      <alignment horizontal="center" vertical="center"/>
    </xf>
    <xf numFmtId="0" fontId="44" fillId="11" borderId="11" xfId="0" applyFont="1" applyFill="1" applyBorder="1" applyAlignment="1">
      <alignment horizontal="center" vertical="center" wrapText="1"/>
    </xf>
    <xf numFmtId="0" fontId="44" fillId="11" borderId="12" xfId="0" applyFont="1" applyFill="1" applyBorder="1" applyAlignment="1">
      <alignment horizontal="center" vertical="center" wrapText="1"/>
    </xf>
    <xf numFmtId="0" fontId="44" fillId="11" borderId="13" xfId="0" applyFont="1" applyFill="1" applyBorder="1" applyAlignment="1">
      <alignment horizontal="center" vertical="center" wrapText="1"/>
    </xf>
    <xf numFmtId="49" fontId="44" fillId="11" borderId="14" xfId="0" applyNumberFormat="1" applyFont="1" applyFill="1" applyBorder="1" applyAlignment="1">
      <alignment horizontal="center" vertical="center" wrapText="1"/>
    </xf>
    <xf numFmtId="49" fontId="44" fillId="11" borderId="15" xfId="0" applyNumberFormat="1" applyFont="1" applyFill="1" applyBorder="1" applyAlignment="1">
      <alignment horizontal="center" vertical="center" wrapText="1"/>
    </xf>
    <xf numFmtId="49" fontId="44" fillId="11" borderId="16" xfId="0" applyNumberFormat="1" applyFont="1" applyFill="1" applyBorder="1" applyAlignment="1">
      <alignment horizontal="center" vertical="center" wrapText="1"/>
    </xf>
    <xf numFmtId="0" fontId="44" fillId="9" borderId="13" xfId="0" applyFont="1" applyFill="1" applyBorder="1" applyAlignment="1">
      <alignment horizontal="center" vertical="center" wrapText="1"/>
    </xf>
    <xf numFmtId="0" fontId="44" fillId="6" borderId="11" xfId="0" applyFont="1" applyFill="1" applyBorder="1" applyAlignment="1">
      <alignment horizontal="center" vertical="center" wrapText="1"/>
    </xf>
    <xf numFmtId="0" fontId="44" fillId="6" borderId="12" xfId="0" applyFont="1" applyFill="1" applyBorder="1" applyAlignment="1">
      <alignment horizontal="center" vertical="center" wrapText="1"/>
    </xf>
    <xf numFmtId="0" fontId="44" fillId="6" borderId="13" xfId="0" applyFont="1" applyFill="1" applyBorder="1" applyAlignment="1">
      <alignment horizontal="center" vertical="center" wrapText="1"/>
    </xf>
    <xf numFmtId="49" fontId="8" fillId="6" borderId="14" xfId="0" applyNumberFormat="1" applyFont="1" applyFill="1" applyBorder="1" applyAlignment="1">
      <alignment horizontal="center" vertical="center" wrapText="1"/>
    </xf>
    <xf numFmtId="49" fontId="8" fillId="6" borderId="15" xfId="0" applyNumberFormat="1" applyFont="1" applyFill="1" applyBorder="1" applyAlignment="1">
      <alignment horizontal="center" vertical="center" wrapText="1"/>
    </xf>
    <xf numFmtId="49" fontId="8" fillId="6" borderId="16" xfId="0" applyNumberFormat="1" applyFont="1" applyFill="1" applyBorder="1" applyAlignment="1">
      <alignment horizontal="center" vertical="center" wrapText="1"/>
    </xf>
    <xf numFmtId="49" fontId="8" fillId="10" borderId="14" xfId="0" applyNumberFormat="1" applyFont="1" applyFill="1" applyBorder="1" applyAlignment="1">
      <alignment horizontal="center" vertical="center" wrapText="1"/>
    </xf>
    <xf numFmtId="49" fontId="8" fillId="10" borderId="15" xfId="0" applyNumberFormat="1" applyFont="1" applyFill="1" applyBorder="1" applyAlignment="1">
      <alignment horizontal="center" vertical="center" wrapText="1"/>
    </xf>
    <xf numFmtId="49" fontId="8" fillId="10" borderId="16" xfId="0" applyNumberFormat="1" applyFont="1" applyFill="1" applyBorder="1" applyAlignment="1">
      <alignment horizontal="center" vertical="center" wrapText="1"/>
    </xf>
    <xf numFmtId="0" fontId="44" fillId="10" borderId="11" xfId="0" applyFont="1" applyFill="1" applyBorder="1" applyAlignment="1">
      <alignment horizontal="center" vertical="center" wrapText="1"/>
    </xf>
    <xf numFmtId="0" fontId="44" fillId="10" borderId="13" xfId="0" applyFont="1" applyFill="1" applyBorder="1" applyAlignment="1">
      <alignment horizontal="center" vertical="center" wrapText="1"/>
    </xf>
    <xf numFmtId="9" fontId="41" fillId="0" borderId="87" xfId="0" applyNumberFormat="1" applyFont="1" applyBorder="1" applyAlignment="1" applyProtection="1">
      <alignment horizontal="center" vertical="center"/>
      <protection hidden="1"/>
    </xf>
    <xf numFmtId="9" fontId="41" fillId="0" borderId="88" xfId="0" applyNumberFormat="1" applyFont="1" applyBorder="1" applyAlignment="1" applyProtection="1">
      <alignment horizontal="center" vertical="center"/>
      <protection hidden="1"/>
    </xf>
    <xf numFmtId="9" fontId="28" fillId="7" borderId="84" xfId="1" applyFont="1" applyFill="1" applyBorder="1" applyAlignment="1" applyProtection="1">
      <alignment horizontal="center" vertical="center"/>
      <protection hidden="1"/>
    </xf>
    <xf numFmtId="9" fontId="28" fillId="7" borderId="85" xfId="1" applyFont="1" applyFill="1" applyBorder="1" applyAlignment="1" applyProtection="1">
      <alignment horizontal="center" vertical="center"/>
      <protection hidden="1"/>
    </xf>
    <xf numFmtId="9" fontId="28" fillId="7" borderId="86" xfId="1" applyFont="1" applyFill="1" applyBorder="1" applyAlignment="1" applyProtection="1">
      <alignment horizontal="center" vertical="center"/>
      <protection hidden="1"/>
    </xf>
    <xf numFmtId="0" fontId="27" fillId="9" borderId="14" xfId="0" applyFont="1" applyFill="1" applyBorder="1" applyAlignment="1">
      <alignment horizontal="center" vertical="center" textRotation="90"/>
    </xf>
    <xf numFmtId="0" fontId="27" fillId="9" borderId="15" xfId="0" applyFont="1" applyFill="1" applyBorder="1" applyAlignment="1">
      <alignment horizontal="center" vertical="center" textRotation="90"/>
    </xf>
    <xf numFmtId="0" fontId="27" fillId="9" borderId="16" xfId="0" applyFont="1" applyFill="1" applyBorder="1" applyAlignment="1">
      <alignment horizontal="center" vertical="center" textRotation="90"/>
    </xf>
    <xf numFmtId="9" fontId="41" fillId="4" borderId="87" xfId="0" applyNumberFormat="1" applyFont="1" applyFill="1" applyBorder="1" applyAlignment="1" applyProtection="1">
      <alignment horizontal="center" vertical="center"/>
      <protection hidden="1"/>
    </xf>
    <xf numFmtId="9" fontId="41" fillId="4" borderId="88" xfId="0" applyNumberFormat="1" applyFont="1" applyFill="1" applyBorder="1" applyAlignment="1" applyProtection="1">
      <alignment horizontal="center" vertical="center"/>
      <protection hidden="1"/>
    </xf>
    <xf numFmtId="9" fontId="41" fillId="4" borderId="89" xfId="0" applyNumberFormat="1" applyFont="1" applyFill="1" applyBorder="1" applyAlignment="1" applyProtection="1">
      <alignment horizontal="center" vertical="center"/>
      <protection hidden="1"/>
    </xf>
    <xf numFmtId="0" fontId="27" fillId="11" borderId="15" xfId="0" applyFont="1" applyFill="1" applyBorder="1" applyAlignment="1">
      <alignment horizontal="center" vertical="center" textRotation="90"/>
    </xf>
    <xf numFmtId="0" fontId="27" fillId="2" borderId="14" xfId="0" applyFont="1" applyFill="1" applyBorder="1" applyAlignment="1">
      <alignment horizontal="center" vertical="center" textRotation="90"/>
    </xf>
    <xf numFmtId="0" fontId="27" fillId="2" borderId="15" xfId="0" applyFont="1" applyFill="1" applyBorder="1" applyAlignment="1">
      <alignment horizontal="center" vertical="center" textRotation="90"/>
    </xf>
    <xf numFmtId="0" fontId="27" fillId="2" borderId="16" xfId="0" applyFont="1" applyFill="1" applyBorder="1" applyAlignment="1">
      <alignment horizontal="center" vertical="center" textRotation="90"/>
    </xf>
    <xf numFmtId="9" fontId="41" fillId="0" borderId="89" xfId="0" applyNumberFormat="1" applyFont="1" applyBorder="1" applyAlignment="1" applyProtection="1">
      <alignment horizontal="center" vertical="center"/>
      <protection hidden="1"/>
    </xf>
    <xf numFmtId="0" fontId="27" fillId="10" borderId="14" xfId="0" applyFont="1" applyFill="1" applyBorder="1" applyAlignment="1">
      <alignment horizontal="center" vertical="center" textRotation="90"/>
    </xf>
    <xf numFmtId="0" fontId="27" fillId="10" borderId="15" xfId="0" applyFont="1" applyFill="1" applyBorder="1" applyAlignment="1">
      <alignment horizontal="center" vertical="center" textRotation="90"/>
    </xf>
    <xf numFmtId="0" fontId="19" fillId="3" borderId="32" xfId="2" applyFont="1" applyFill="1" applyBorder="1" applyAlignment="1" applyProtection="1">
      <alignment horizontal="center" vertical="center" wrapText="1"/>
    </xf>
    <xf numFmtId="0" fontId="19" fillId="3" borderId="33" xfId="2" applyFont="1" applyFill="1" applyBorder="1" applyAlignment="1" applyProtection="1">
      <alignment horizontal="center" vertical="center" wrapText="1"/>
    </xf>
    <xf numFmtId="0" fontId="23" fillId="6" borderId="14" xfId="0" applyFont="1" applyFill="1" applyBorder="1" applyAlignment="1">
      <alignment horizontal="center" vertical="center" textRotation="90" wrapText="1"/>
    </xf>
    <xf numFmtId="0" fontId="23" fillId="6" borderId="15" xfId="0" applyFont="1" applyFill="1" applyBorder="1" applyAlignment="1">
      <alignment horizontal="center" vertical="center" textRotation="90" wrapText="1"/>
    </xf>
    <xf numFmtId="0" fontId="23" fillId="6" borderId="16" xfId="0" applyFont="1" applyFill="1" applyBorder="1" applyAlignment="1">
      <alignment horizontal="center" vertical="center" textRotation="90" wrapText="1"/>
    </xf>
    <xf numFmtId="0" fontId="19" fillId="2" borderId="37" xfId="2" applyFont="1" applyFill="1" applyBorder="1" applyAlignment="1" applyProtection="1">
      <alignment horizontal="center" vertical="center" wrapText="1"/>
    </xf>
    <xf numFmtId="0" fontId="19" fillId="2" borderId="83" xfId="2" applyFont="1" applyFill="1" applyBorder="1" applyAlignment="1" applyProtection="1">
      <alignment horizontal="center" vertical="center" wrapText="1"/>
    </xf>
    <xf numFmtId="0" fontId="19" fillId="2" borderId="38" xfId="2" applyFont="1" applyFill="1" applyBorder="1" applyAlignment="1" applyProtection="1">
      <alignment horizontal="center" vertical="center" wrapText="1"/>
    </xf>
    <xf numFmtId="0" fontId="19" fillId="2" borderId="39" xfId="2" applyFont="1" applyFill="1" applyBorder="1" applyAlignment="1" applyProtection="1">
      <alignment horizontal="center" vertical="center" wrapText="1"/>
    </xf>
    <xf numFmtId="0" fontId="19" fillId="2" borderId="40" xfId="2" applyFont="1" applyFill="1" applyBorder="1" applyAlignment="1" applyProtection="1">
      <alignment horizontal="center" vertical="center" wrapText="1"/>
    </xf>
    <xf numFmtId="0" fontId="19" fillId="2" borderId="42" xfId="2" applyFont="1" applyFill="1" applyBorder="1" applyAlignment="1" applyProtection="1">
      <alignment horizontal="center" vertical="center" wrapText="1"/>
    </xf>
    <xf numFmtId="0" fontId="19" fillId="2" borderId="41" xfId="2" applyFont="1" applyFill="1" applyBorder="1" applyAlignment="1" applyProtection="1">
      <alignment horizontal="center" vertical="center" wrapText="1"/>
    </xf>
    <xf numFmtId="0" fontId="19" fillId="2" borderId="43" xfId="2" applyFont="1" applyFill="1" applyBorder="1" applyAlignment="1" applyProtection="1">
      <alignment horizontal="center" vertical="center" wrapText="1"/>
    </xf>
    <xf numFmtId="0" fontId="6" fillId="2" borderId="2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5" xfId="0" applyFont="1" applyFill="1" applyBorder="1" applyAlignment="1">
      <alignment horizontal="center" vertical="center"/>
    </xf>
    <xf numFmtId="49" fontId="49" fillId="4" borderId="91" xfId="0" applyNumberFormat="1" applyFont="1" applyFill="1" applyBorder="1" applyAlignment="1">
      <alignment horizontal="left" vertical="center" wrapText="1"/>
    </xf>
    <xf numFmtId="49" fontId="49" fillId="4" borderId="3" xfId="0" applyNumberFormat="1" applyFont="1" applyFill="1" applyBorder="1" applyAlignment="1">
      <alignment horizontal="left" vertical="center" wrapText="1"/>
    </xf>
    <xf numFmtId="49" fontId="49" fillId="4" borderId="92" xfId="0" applyNumberFormat="1" applyFont="1" applyFill="1" applyBorder="1" applyAlignment="1">
      <alignment horizontal="left" vertical="center" wrapText="1"/>
    </xf>
    <xf numFmtId="49" fontId="49" fillId="4" borderId="4" xfId="0" applyNumberFormat="1" applyFont="1" applyFill="1" applyBorder="1" applyAlignment="1">
      <alignment horizontal="left" vertical="center" wrapText="1"/>
    </xf>
    <xf numFmtId="0" fontId="51" fillId="2" borderId="7"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6" fillId="4" borderId="3" xfId="0" applyFont="1" applyFill="1" applyBorder="1" applyAlignment="1" applyProtection="1">
      <alignment horizontal="center" vertical="center"/>
      <protection locked="0"/>
    </xf>
    <xf numFmtId="164" fontId="56" fillId="4" borderId="22" xfId="0" applyNumberFormat="1" applyFont="1" applyFill="1" applyBorder="1" applyAlignment="1" applyProtection="1">
      <alignment horizontal="center" vertical="center"/>
      <protection locked="0"/>
    </xf>
    <xf numFmtId="164" fontId="56" fillId="4" borderId="23" xfId="0" applyNumberFormat="1" applyFont="1" applyFill="1" applyBorder="1" applyAlignment="1" applyProtection="1">
      <alignment horizontal="center" vertical="center"/>
      <protection locked="0"/>
    </xf>
    <xf numFmtId="164" fontId="56" fillId="4" borderId="9" xfId="0" applyNumberFormat="1" applyFont="1" applyFill="1" applyBorder="1" applyAlignment="1" applyProtection="1">
      <alignment horizontal="center" vertical="center"/>
      <protection locked="0"/>
    </xf>
    <xf numFmtId="0" fontId="52" fillId="2" borderId="24" xfId="0" applyFont="1" applyFill="1" applyBorder="1" applyAlignment="1">
      <alignment horizontal="center" vertical="center" wrapText="1"/>
    </xf>
    <xf numFmtId="0" fontId="52" fillId="2" borderId="1" xfId="0" applyFont="1" applyFill="1" applyBorder="1" applyAlignment="1">
      <alignment horizontal="center" vertical="center" wrapText="1"/>
    </xf>
    <xf numFmtId="0" fontId="52" fillId="2" borderId="25" xfId="0" applyFont="1" applyFill="1" applyBorder="1" applyAlignment="1">
      <alignment horizontal="center" vertical="center" wrapText="1"/>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49" fontId="49" fillId="4" borderId="90" xfId="0" applyNumberFormat="1" applyFont="1" applyFill="1" applyBorder="1" applyAlignment="1">
      <alignment horizontal="left" vertical="center" wrapText="1"/>
    </xf>
    <xf numFmtId="49" fontId="49" fillId="4" borderId="2" xfId="0" applyNumberFormat="1" applyFont="1" applyFill="1" applyBorder="1" applyAlignment="1">
      <alignment horizontal="left" vertical="center" wrapText="1"/>
    </xf>
    <xf numFmtId="49" fontId="61" fillId="4" borderId="2" xfId="0" applyNumberFormat="1" applyFont="1" applyFill="1" applyBorder="1" applyAlignment="1" applyProtection="1">
      <alignment vertical="center" wrapText="1"/>
      <protection locked="0"/>
    </xf>
    <xf numFmtId="49" fontId="48" fillId="4" borderId="2" xfId="0" applyNumberFormat="1" applyFont="1" applyFill="1" applyBorder="1" applyAlignment="1" applyProtection="1">
      <alignment vertical="center" wrapText="1"/>
      <protection locked="0"/>
    </xf>
    <xf numFmtId="49" fontId="48" fillId="4" borderId="84" xfId="0" applyNumberFormat="1" applyFont="1" applyFill="1" applyBorder="1" applyAlignment="1" applyProtection="1">
      <alignment vertical="center" wrapText="1"/>
      <protection locked="0"/>
    </xf>
    <xf numFmtId="49" fontId="59" fillId="4" borderId="3" xfId="0" applyNumberFormat="1" applyFont="1" applyFill="1" applyBorder="1" applyAlignment="1" applyProtection="1">
      <alignment horizontal="left" vertical="top" wrapText="1"/>
      <protection locked="0"/>
    </xf>
    <xf numFmtId="49" fontId="0" fillId="4" borderId="3" xfId="0" applyNumberFormat="1" applyFill="1" applyBorder="1" applyAlignment="1" applyProtection="1">
      <alignment horizontal="left" vertical="top" wrapText="1"/>
      <protection locked="0"/>
    </xf>
    <xf numFmtId="49" fontId="0" fillId="4" borderId="85" xfId="0" applyNumberFormat="1" applyFill="1" applyBorder="1" applyAlignment="1" applyProtection="1">
      <alignment horizontal="left" vertical="top" wrapText="1"/>
      <protection locked="0"/>
    </xf>
    <xf numFmtId="49" fontId="59" fillId="4" borderId="4" xfId="0" applyNumberFormat="1" applyFont="1" applyFill="1" applyBorder="1" applyAlignment="1" applyProtection="1">
      <alignment horizontal="left" vertical="top" wrapText="1"/>
      <protection locked="0"/>
    </xf>
    <xf numFmtId="49" fontId="0" fillId="4" borderId="4" xfId="0" applyNumberFormat="1" applyFill="1" applyBorder="1" applyAlignment="1" applyProtection="1">
      <alignment horizontal="left" vertical="top" wrapText="1"/>
      <protection locked="0"/>
    </xf>
    <xf numFmtId="49" fontId="0" fillId="4" borderId="86" xfId="0" applyNumberFormat="1" applyFill="1" applyBorder="1" applyAlignment="1" applyProtection="1">
      <alignment horizontal="left" vertical="top" wrapText="1"/>
      <protection locked="0"/>
    </xf>
    <xf numFmtId="0" fontId="59" fillId="0" borderId="24"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59" fillId="0" borderId="24"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59" fillId="0" borderId="1" xfId="0" applyFont="1" applyBorder="1" applyAlignment="1" applyProtection="1">
      <alignment horizontal="left" vertical="center" wrapText="1"/>
      <protection locked="0"/>
    </xf>
    <xf numFmtId="0" fontId="59" fillId="0" borderId="25" xfId="0" applyFont="1" applyBorder="1" applyAlignment="1" applyProtection="1">
      <alignment horizontal="left" vertical="center" wrapText="1"/>
      <protection locked="0"/>
    </xf>
    <xf numFmtId="0" fontId="52" fillId="12" borderId="0" xfId="0" applyFont="1" applyFill="1" applyBorder="1" applyAlignment="1">
      <alignment horizontal="center" vertical="center" wrapText="1"/>
    </xf>
    <xf numFmtId="0" fontId="57" fillId="0" borderId="24" xfId="0" applyFont="1" applyFill="1" applyBorder="1" applyAlignment="1" applyProtection="1">
      <alignment horizontal="left" vertical="center" wrapText="1"/>
      <protection locked="0"/>
    </xf>
    <xf numFmtId="0" fontId="57" fillId="0" borderId="1" xfId="0" applyFont="1" applyFill="1" applyBorder="1" applyAlignment="1" applyProtection="1">
      <alignment horizontal="left" vertical="center" wrapText="1"/>
      <protection locked="0"/>
    </xf>
    <xf numFmtId="0" fontId="57" fillId="0" borderId="25" xfId="0" applyFont="1" applyFill="1" applyBorder="1" applyAlignment="1" applyProtection="1">
      <alignment horizontal="left" vertical="center" wrapText="1"/>
      <protection locked="0"/>
    </xf>
    <xf numFmtId="0" fontId="0" fillId="0" borderId="73" xfId="0" applyBorder="1" applyAlignment="1">
      <alignment horizontal="center"/>
    </xf>
    <xf numFmtId="0" fontId="0" fillId="0" borderId="1" xfId="0" applyBorder="1" applyAlignment="1">
      <alignment horizontal="center"/>
    </xf>
  </cellXfs>
  <cellStyles count="5">
    <cellStyle name="Normal" xfId="0" builtinId="0"/>
    <cellStyle name="Normal - Style1 2" xfId="3" xr:uid="{00000000-0005-0000-0000-000001000000}"/>
    <cellStyle name="Normal 2" xfId="2" xr:uid="{00000000-0005-0000-0000-000002000000}"/>
    <cellStyle name="Normal 2 2" xfId="4" xr:uid="{00000000-0005-0000-0000-000003000000}"/>
    <cellStyle name="Porcentaje" xfId="1" builtinId="5"/>
  </cellStyles>
  <dxfs count="20">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1050132</xdr:colOff>
      <xdr:row>0</xdr:row>
      <xdr:rowOff>66818</xdr:rowOff>
    </xdr:from>
    <xdr:to>
      <xdr:col>7</xdr:col>
      <xdr:colOff>726282</xdr:colOff>
      <xdr:row>11</xdr:row>
      <xdr:rowOff>47624</xdr:rowOff>
    </xdr:to>
    <xdr:pic>
      <xdr:nvPicPr>
        <xdr:cNvPr id="2" name="Imagen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7169945" y="66818"/>
          <a:ext cx="3676650" cy="2338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281667</xdr:colOff>
      <xdr:row>7</xdr:row>
      <xdr:rowOff>102768</xdr:rowOff>
    </xdr:from>
    <xdr:to>
      <xdr:col>6</xdr:col>
      <xdr:colOff>595313</xdr:colOff>
      <xdr:row>14</xdr:row>
      <xdr:rowOff>55289</xdr:rowOff>
    </xdr:to>
    <xdr:pic>
      <xdr:nvPicPr>
        <xdr:cNvPr id="4"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4567917" y="2037534"/>
          <a:ext cx="3959935" cy="23486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Desktop/cesar/HISTORICOS/2020-04-22_Formato_informe_sci_parametrizado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Resultad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topLeftCell="A3" zoomScale="90" zoomScaleNormal="90" workbookViewId="0">
      <selection activeCell="B6" sqref="B6:H7"/>
    </sheetView>
  </sheetViews>
  <sheetFormatPr baseColWidth="10" defaultColWidth="0" defaultRowHeight="12.75" zeroHeight="1" x14ac:dyDescent="0.2"/>
  <cols>
    <col min="1" max="1" width="3.85546875" style="45" customWidth="1"/>
    <col min="2" max="2" width="15.28515625" style="45" customWidth="1"/>
    <col min="3" max="3" width="17.28515625" style="45" customWidth="1"/>
    <col min="4" max="4" width="28.5703125" style="45" customWidth="1"/>
    <col min="5" max="5" width="12.85546875" style="45" customWidth="1"/>
    <col min="6" max="6" width="47.140625" style="45" customWidth="1"/>
    <col min="7" max="7" width="21.42578125" style="45" customWidth="1"/>
    <col min="8" max="8" width="6.5703125" style="45" customWidth="1"/>
    <col min="9" max="9" width="2.5703125" style="45" customWidth="1"/>
    <col min="10" max="16384" width="11.42578125" style="45" hidden="1"/>
  </cols>
  <sheetData>
    <row r="1" spans="2:8" ht="13.5" thickBot="1" x14ac:dyDescent="0.25"/>
    <row r="2" spans="2:8" ht="73.5" customHeight="1" x14ac:dyDescent="0.2">
      <c r="B2" s="166" t="s">
        <v>0</v>
      </c>
      <c r="C2" s="167"/>
      <c r="D2" s="167"/>
      <c r="E2" s="167"/>
      <c r="F2" s="167"/>
      <c r="G2" s="167"/>
      <c r="H2" s="168"/>
    </row>
    <row r="3" spans="2:8" ht="65.25" customHeight="1" x14ac:dyDescent="0.2">
      <c r="B3" s="169" t="s">
        <v>1</v>
      </c>
      <c r="C3" s="170"/>
      <c r="D3" s="170"/>
      <c r="E3" s="170"/>
      <c r="F3" s="170"/>
      <c r="G3" s="170"/>
      <c r="H3" s="171"/>
    </row>
    <row r="4" spans="2:8" ht="82.5" customHeight="1" x14ac:dyDescent="0.2">
      <c r="B4" s="169"/>
      <c r="C4" s="170"/>
      <c r="D4" s="170"/>
      <c r="E4" s="170"/>
      <c r="F4" s="170"/>
      <c r="G4" s="170"/>
      <c r="H4" s="171"/>
    </row>
    <row r="5" spans="2:8" ht="21.75" customHeight="1" x14ac:dyDescent="0.2">
      <c r="B5" s="172" t="s">
        <v>2</v>
      </c>
      <c r="C5" s="173"/>
      <c r="D5" s="173"/>
      <c r="E5" s="173"/>
      <c r="F5" s="173"/>
      <c r="G5" s="173"/>
      <c r="H5" s="174"/>
    </row>
    <row r="6" spans="2:8" ht="42" customHeight="1" x14ac:dyDescent="0.2">
      <c r="B6" s="175" t="s">
        <v>3</v>
      </c>
      <c r="C6" s="176"/>
      <c r="D6" s="176"/>
      <c r="E6" s="176"/>
      <c r="F6" s="176"/>
      <c r="G6" s="176"/>
      <c r="H6" s="177"/>
    </row>
    <row r="7" spans="2:8" ht="14.25" customHeight="1" x14ac:dyDescent="0.2">
      <c r="B7" s="175"/>
      <c r="C7" s="176"/>
      <c r="D7" s="176"/>
      <c r="E7" s="176"/>
      <c r="F7" s="176"/>
      <c r="G7" s="176"/>
      <c r="H7" s="177"/>
    </row>
    <row r="8" spans="2:8" ht="12.75" customHeight="1" thickBot="1" x14ac:dyDescent="0.25">
      <c r="B8" s="57"/>
      <c r="C8" s="51"/>
      <c r="D8" s="67"/>
      <c r="E8" s="68"/>
      <c r="F8" s="68"/>
      <c r="G8" s="65"/>
      <c r="H8" s="66"/>
    </row>
    <row r="9" spans="2:8" ht="21" customHeight="1" thickTop="1" x14ac:dyDescent="0.2">
      <c r="B9" s="57"/>
      <c r="C9" s="178" t="s">
        <v>4</v>
      </c>
      <c r="D9" s="179"/>
      <c r="E9" s="180" t="s">
        <v>5</v>
      </c>
      <c r="F9" s="181"/>
      <c r="G9" s="51"/>
      <c r="H9" s="59"/>
    </row>
    <row r="10" spans="2:8" ht="37.5" customHeight="1" x14ac:dyDescent="0.2">
      <c r="B10" s="57"/>
      <c r="C10" s="182" t="s">
        <v>6</v>
      </c>
      <c r="D10" s="183"/>
      <c r="E10" s="184" t="s">
        <v>7</v>
      </c>
      <c r="F10" s="185"/>
      <c r="G10" s="51"/>
      <c r="H10" s="59"/>
    </row>
    <row r="11" spans="2:8" ht="39.75" customHeight="1" x14ac:dyDescent="0.2">
      <c r="B11" s="57"/>
      <c r="C11" s="186" t="s">
        <v>8</v>
      </c>
      <c r="D11" s="187"/>
      <c r="E11" s="188" t="s">
        <v>9</v>
      </c>
      <c r="F11" s="189"/>
      <c r="G11" s="51"/>
      <c r="H11" s="59"/>
    </row>
    <row r="12" spans="2:8" ht="59.25" customHeight="1" x14ac:dyDescent="0.2">
      <c r="B12" s="57"/>
      <c r="C12" s="186" t="s">
        <v>10</v>
      </c>
      <c r="D12" s="187"/>
      <c r="E12" s="190" t="s">
        <v>11</v>
      </c>
      <c r="F12" s="191"/>
      <c r="G12" s="51"/>
      <c r="H12" s="59"/>
    </row>
    <row r="13" spans="2:8" ht="33.75" customHeight="1" x14ac:dyDescent="0.2">
      <c r="B13" s="57"/>
      <c r="C13" s="196" t="s">
        <v>12</v>
      </c>
      <c r="D13" s="197"/>
      <c r="E13" s="188" t="s">
        <v>13</v>
      </c>
      <c r="F13" s="189"/>
      <c r="G13" s="51"/>
      <c r="H13" s="59"/>
    </row>
    <row r="14" spans="2:8" ht="19.5" customHeight="1" x14ac:dyDescent="0.2">
      <c r="B14" s="57"/>
      <c r="C14" s="63"/>
      <c r="D14" s="63"/>
      <c r="E14" s="64"/>
      <c r="F14" s="64"/>
      <c r="G14" s="51"/>
      <c r="H14" s="59"/>
    </row>
    <row r="15" spans="2:8" ht="37.5" customHeight="1" thickBot="1" x14ac:dyDescent="0.25">
      <c r="B15" s="192" t="s">
        <v>14</v>
      </c>
      <c r="C15" s="193"/>
      <c r="D15" s="193"/>
      <c r="E15" s="193"/>
      <c r="F15" s="193"/>
      <c r="G15" s="193"/>
      <c r="H15" s="194"/>
    </row>
    <row r="16" spans="2:8" ht="27.75" customHeight="1" thickBot="1" x14ac:dyDescent="0.25">
      <c r="B16" s="57"/>
      <c r="C16" s="198" t="s">
        <v>15</v>
      </c>
      <c r="D16" s="199"/>
      <c r="E16" s="199" t="s">
        <v>16</v>
      </c>
      <c r="F16" s="210"/>
      <c r="G16" s="51"/>
      <c r="H16" s="59"/>
    </row>
    <row r="17" spans="2:8" ht="27.75" customHeight="1" x14ac:dyDescent="0.2">
      <c r="B17" s="57"/>
      <c r="C17" s="211" t="s">
        <v>17</v>
      </c>
      <c r="D17" s="212"/>
      <c r="E17" s="213" t="s">
        <v>18</v>
      </c>
      <c r="F17" s="214"/>
      <c r="G17" s="101"/>
      <c r="H17" s="59"/>
    </row>
    <row r="18" spans="2:8" ht="41.25" customHeight="1" x14ac:dyDescent="0.2">
      <c r="B18" s="57"/>
      <c r="C18" s="200" t="s">
        <v>19</v>
      </c>
      <c r="D18" s="201"/>
      <c r="E18" s="202" t="s">
        <v>20</v>
      </c>
      <c r="F18" s="203"/>
      <c r="G18" s="102"/>
      <c r="H18" s="59"/>
    </row>
    <row r="19" spans="2:8" ht="37.5" customHeight="1" thickBot="1" x14ac:dyDescent="0.25">
      <c r="B19" s="57"/>
      <c r="C19" s="204" t="s">
        <v>21</v>
      </c>
      <c r="D19" s="205"/>
      <c r="E19" s="206" t="s">
        <v>22</v>
      </c>
      <c r="F19" s="207"/>
      <c r="G19" s="102"/>
      <c r="H19" s="59"/>
    </row>
    <row r="20" spans="2:8" ht="11.25" customHeight="1" x14ac:dyDescent="0.2">
      <c r="B20" s="52"/>
      <c r="C20" s="53"/>
      <c r="D20" s="53"/>
      <c r="E20" s="53"/>
      <c r="F20" s="53"/>
      <c r="G20" s="53"/>
      <c r="H20" s="54"/>
    </row>
    <row r="21" spans="2:8" ht="14.25" customHeight="1" x14ac:dyDescent="0.2">
      <c r="B21" s="55"/>
      <c r="C21" s="208"/>
      <c r="D21" s="208"/>
      <c r="E21" s="209"/>
      <c r="F21" s="209"/>
      <c r="G21" s="209"/>
      <c r="H21" s="56"/>
    </row>
    <row r="22" spans="2:8" ht="36" customHeight="1" x14ac:dyDescent="0.2">
      <c r="B22" s="192" t="s">
        <v>23</v>
      </c>
      <c r="C22" s="193"/>
      <c r="D22" s="193"/>
      <c r="E22" s="193"/>
      <c r="F22" s="193"/>
      <c r="G22" s="193"/>
      <c r="H22" s="194"/>
    </row>
    <row r="23" spans="2:8" ht="13.5" x14ac:dyDescent="0.2">
      <c r="B23" s="57"/>
      <c r="C23" s="58"/>
      <c r="D23" s="58"/>
      <c r="E23" s="195"/>
      <c r="F23" s="195"/>
      <c r="G23" s="51"/>
      <c r="H23" s="59"/>
    </row>
    <row r="24" spans="2:8" ht="13.5" thickBot="1" x14ac:dyDescent="0.25">
      <c r="B24" s="60"/>
      <c r="C24" s="61"/>
      <c r="D24" s="61"/>
      <c r="E24" s="61"/>
      <c r="F24" s="61"/>
      <c r="G24" s="61"/>
      <c r="H24" s="62"/>
    </row>
    <row r="25" spans="2:8" x14ac:dyDescent="0.2"/>
    <row r="26" spans="2:8" ht="29.25" customHeight="1" x14ac:dyDescent="0.2"/>
    <row r="27" spans="2:8" ht="26.25" customHeight="1" x14ac:dyDescent="0.2"/>
    <row r="28" spans="2:8" ht="43.5" customHeight="1" x14ac:dyDescent="0.2"/>
    <row r="29" spans="2:8" ht="53.25" customHeight="1" x14ac:dyDescent="0.2"/>
    <row r="30" spans="2:8" x14ac:dyDescent="0.2"/>
    <row r="31" spans="2:8" x14ac:dyDescent="0.2"/>
    <row r="32" spans="2:8" x14ac:dyDescent="0.2"/>
    <row r="33" x14ac:dyDescent="0.2"/>
    <row r="34" x14ac:dyDescent="0.2"/>
    <row r="35"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x14ac:dyDescent="0.2"/>
    <row r="52" x14ac:dyDescent="0.2"/>
    <row r="54" x14ac:dyDescent="0.2"/>
  </sheetData>
  <sheetProtection algorithmName="SHA-512" hashValue="t7sIeOvFa2bhukBsHVcHmO5gG9cifT20ZR8W/o5PL1FLs7w8K+KkEm6wLVbMVfYFM8W9luBRuNKu+qdhAWPM7w==" saltValue="H/shNuEdnFDauevCofk8Sw==" spinCount="100000" sheet="1" objects="1" scenarios="1"/>
  <mergeCells count="27">
    <mergeCell ref="B22:H22"/>
    <mergeCell ref="E23:F23"/>
    <mergeCell ref="C13:D13"/>
    <mergeCell ref="E13:F13"/>
    <mergeCell ref="C16:D16"/>
    <mergeCell ref="C18:D18"/>
    <mergeCell ref="E18:F18"/>
    <mergeCell ref="C19:D19"/>
    <mergeCell ref="E19:F19"/>
    <mergeCell ref="C21:D21"/>
    <mergeCell ref="E21:G21"/>
    <mergeCell ref="B15:H15"/>
    <mergeCell ref="E16:F16"/>
    <mergeCell ref="C17:D17"/>
    <mergeCell ref="E17:F17"/>
    <mergeCell ref="C10:D10"/>
    <mergeCell ref="E10:F10"/>
    <mergeCell ref="C11:D11"/>
    <mergeCell ref="E11:F11"/>
    <mergeCell ref="C12:D12"/>
    <mergeCell ref="E12:F12"/>
    <mergeCell ref="B2:H2"/>
    <mergeCell ref="B3:H4"/>
    <mergeCell ref="B5:H5"/>
    <mergeCell ref="B6:H7"/>
    <mergeCell ref="C9:D9"/>
    <mergeCell ref="E9:F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59"/>
  <sheetViews>
    <sheetView showGridLines="0" topLeftCell="D61" zoomScale="82" zoomScaleNormal="82" workbookViewId="0">
      <selection activeCell="I51" sqref="I51"/>
    </sheetView>
  </sheetViews>
  <sheetFormatPr baseColWidth="10" defaultColWidth="11.42578125" defaultRowHeight="16.5" x14ac:dyDescent="0.3"/>
  <cols>
    <col min="1" max="1" width="3" style="47" hidden="1" customWidth="1"/>
    <col min="2" max="2" width="9.42578125" style="47" customWidth="1"/>
    <col min="3" max="3" width="25.5703125" style="47" customWidth="1"/>
    <col min="4" max="4" width="46.5703125" style="47" customWidth="1"/>
    <col min="5" max="5" width="10.140625" style="70" customWidth="1"/>
    <col min="6" max="6" width="44.5703125" style="70" customWidth="1"/>
    <col min="7" max="7" width="15.42578125" style="47" customWidth="1"/>
    <col min="8" max="9" width="43" style="47" customWidth="1"/>
    <col min="10" max="12" width="11.42578125" style="75" customWidth="1"/>
    <col min="13" max="24" width="11.42578125" style="47" customWidth="1"/>
    <col min="25" max="16384" width="11.42578125" style="47"/>
  </cols>
  <sheetData>
    <row r="1" spans="1:32" x14ac:dyDescent="0.3">
      <c r="B1" s="46"/>
      <c r="C1" s="46"/>
      <c r="D1" s="46"/>
      <c r="E1" s="69"/>
      <c r="F1" s="69"/>
      <c r="G1" s="46"/>
      <c r="H1" s="46"/>
      <c r="I1" s="46"/>
      <c r="J1" s="71"/>
      <c r="K1" s="71"/>
      <c r="L1" s="72"/>
      <c r="M1" s="46"/>
      <c r="N1" s="46"/>
      <c r="O1" s="46"/>
      <c r="P1" s="46"/>
      <c r="Q1" s="46"/>
      <c r="R1" s="46"/>
      <c r="S1" s="46"/>
      <c r="T1" s="46"/>
      <c r="U1" s="46"/>
      <c r="V1" s="46"/>
      <c r="W1" s="46"/>
      <c r="X1" s="46"/>
    </row>
    <row r="2" spans="1:32" x14ac:dyDescent="0.3">
      <c r="B2" s="46"/>
      <c r="C2" s="46"/>
      <c r="D2" s="46"/>
      <c r="E2" s="69"/>
      <c r="F2" s="69"/>
      <c r="G2" s="46"/>
      <c r="H2" s="46"/>
      <c r="I2" s="46"/>
      <c r="J2" s="71"/>
      <c r="K2" s="71"/>
      <c r="L2" s="72"/>
      <c r="M2" s="46"/>
      <c r="N2" s="46"/>
      <c r="O2" s="46"/>
      <c r="P2" s="46"/>
      <c r="Q2" s="46"/>
      <c r="R2" s="46"/>
      <c r="S2" s="46"/>
      <c r="T2" s="46"/>
      <c r="U2" s="46"/>
      <c r="V2" s="46"/>
      <c r="W2" s="46"/>
      <c r="X2" s="46"/>
    </row>
    <row r="3" spans="1:32" x14ac:dyDescent="0.3">
      <c r="B3" s="46"/>
      <c r="C3" s="46"/>
      <c r="D3" s="46"/>
      <c r="E3" s="69"/>
      <c r="F3" s="69"/>
      <c r="G3" s="46"/>
      <c r="H3" s="46"/>
      <c r="I3" s="46"/>
      <c r="J3" s="71"/>
      <c r="K3" s="71"/>
      <c r="L3" s="72"/>
      <c r="M3" s="46"/>
      <c r="N3" s="46"/>
      <c r="O3" s="46"/>
      <c r="P3" s="46"/>
      <c r="Q3" s="46"/>
      <c r="R3" s="46"/>
      <c r="S3" s="46"/>
      <c r="T3" s="46"/>
      <c r="U3" s="46"/>
      <c r="V3" s="46"/>
      <c r="W3" s="46"/>
      <c r="X3" s="46"/>
    </row>
    <row r="4" spans="1:32" x14ac:dyDescent="0.3">
      <c r="B4" s="46"/>
      <c r="C4" s="46"/>
      <c r="D4" s="46"/>
      <c r="E4" s="69"/>
      <c r="F4" s="69"/>
      <c r="G4" s="46"/>
      <c r="H4" s="46"/>
      <c r="I4" s="46"/>
      <c r="J4" s="71"/>
      <c r="K4" s="71"/>
      <c r="L4" s="72"/>
      <c r="M4" s="46"/>
      <c r="N4" s="46"/>
      <c r="O4" s="46"/>
      <c r="P4" s="46"/>
      <c r="Q4" s="46"/>
      <c r="R4" s="46"/>
      <c r="S4" s="46"/>
      <c r="T4" s="46"/>
      <c r="U4" s="46"/>
      <c r="V4" s="46"/>
      <c r="W4" s="46"/>
      <c r="X4" s="46"/>
    </row>
    <row r="5" spans="1:32" x14ac:dyDescent="0.3">
      <c r="B5" s="46"/>
      <c r="C5" s="46"/>
      <c r="D5" s="46"/>
      <c r="E5" s="69"/>
      <c r="F5" s="69"/>
      <c r="G5" s="46"/>
      <c r="H5" s="46"/>
      <c r="I5" s="46"/>
      <c r="J5" s="71"/>
      <c r="K5" s="71"/>
      <c r="L5" s="72"/>
      <c r="M5" s="46"/>
      <c r="N5" s="46"/>
      <c r="O5" s="46"/>
      <c r="P5" s="46"/>
      <c r="Q5" s="46"/>
      <c r="R5" s="46"/>
      <c r="S5" s="46"/>
      <c r="T5" s="46"/>
      <c r="U5" s="46"/>
      <c r="V5" s="46"/>
      <c r="W5" s="46"/>
      <c r="X5" s="46"/>
    </row>
    <row r="6" spans="1:32" x14ac:dyDescent="0.3">
      <c r="B6" s="46"/>
      <c r="C6" s="46"/>
      <c r="D6" s="46"/>
      <c r="E6" s="69"/>
      <c r="F6" s="69"/>
      <c r="G6" s="46"/>
      <c r="H6" s="46"/>
      <c r="I6" s="46"/>
      <c r="J6" s="71"/>
      <c r="K6" s="71"/>
      <c r="L6" s="72"/>
      <c r="M6" s="46"/>
      <c r="N6" s="46"/>
      <c r="O6" s="46"/>
      <c r="P6" s="46"/>
      <c r="Q6" s="46"/>
      <c r="R6" s="46"/>
      <c r="S6" s="46"/>
      <c r="T6" s="46"/>
      <c r="U6" s="46"/>
      <c r="V6" s="46"/>
      <c r="W6" s="46"/>
      <c r="X6" s="46"/>
    </row>
    <row r="7" spans="1:32" x14ac:dyDescent="0.3">
      <c r="B7" s="46"/>
      <c r="C7" s="46"/>
      <c r="D7" s="46"/>
      <c r="E7" s="69"/>
      <c r="F7" s="69"/>
      <c r="G7" s="46"/>
      <c r="H7" s="46"/>
      <c r="I7" s="46"/>
      <c r="J7" s="71"/>
      <c r="K7" s="71"/>
      <c r="L7" s="72"/>
      <c r="M7" s="46"/>
      <c r="N7" s="46"/>
      <c r="O7" s="46"/>
      <c r="P7" s="46"/>
      <c r="Q7" s="46"/>
      <c r="R7" s="46"/>
      <c r="S7" s="46"/>
      <c r="T7" s="46"/>
      <c r="U7" s="46"/>
      <c r="V7" s="46"/>
      <c r="W7" s="46"/>
      <c r="X7" s="46"/>
    </row>
    <row r="8" spans="1:32" x14ac:dyDescent="0.3">
      <c r="B8" s="46"/>
      <c r="C8" s="46"/>
      <c r="D8" s="46"/>
      <c r="E8" s="69"/>
      <c r="F8" s="69"/>
      <c r="G8" s="46"/>
      <c r="H8" s="46"/>
      <c r="I8" s="46"/>
      <c r="J8" s="71"/>
      <c r="K8" s="71"/>
      <c r="L8" s="72"/>
      <c r="M8" s="46"/>
      <c r="N8" s="46"/>
      <c r="O8" s="46"/>
      <c r="P8" s="46"/>
      <c r="Q8" s="46"/>
      <c r="R8" s="46"/>
      <c r="S8" s="46"/>
      <c r="T8" s="46"/>
      <c r="U8" s="46"/>
      <c r="V8" s="46"/>
      <c r="W8" s="46"/>
      <c r="X8" s="46"/>
    </row>
    <row r="9" spans="1:32" x14ac:dyDescent="0.3">
      <c r="B9" s="46"/>
      <c r="C9" s="46"/>
      <c r="D9" s="46"/>
      <c r="E9" s="69"/>
      <c r="F9" s="69"/>
      <c r="G9" s="46"/>
      <c r="H9" s="46"/>
      <c r="I9" s="46"/>
      <c r="J9" s="71"/>
      <c r="K9" s="71"/>
      <c r="L9" s="72"/>
      <c r="M9" s="46"/>
      <c r="N9" s="46"/>
      <c r="O9" s="46"/>
      <c r="P9" s="46"/>
      <c r="Q9" s="46"/>
      <c r="R9" s="46"/>
      <c r="S9" s="46"/>
      <c r="T9" s="46"/>
      <c r="U9" s="46"/>
      <c r="V9" s="46"/>
      <c r="W9" s="46"/>
      <c r="X9" s="46"/>
    </row>
    <row r="10" spans="1:32" x14ac:dyDescent="0.3">
      <c r="B10" s="46"/>
      <c r="C10" s="46"/>
      <c r="D10" s="46"/>
      <c r="E10" s="69"/>
      <c r="F10" s="69"/>
      <c r="G10" s="46"/>
      <c r="H10" s="46"/>
      <c r="I10" s="46"/>
      <c r="J10" s="71"/>
      <c r="K10" s="71"/>
      <c r="L10" s="72"/>
      <c r="M10" s="46"/>
      <c r="N10" s="46"/>
      <c r="O10" s="46"/>
      <c r="P10" s="46"/>
      <c r="Q10" s="46"/>
      <c r="R10" s="46"/>
      <c r="S10" s="46"/>
      <c r="T10" s="46"/>
      <c r="U10" s="46"/>
      <c r="V10" s="46"/>
      <c r="W10" s="46"/>
      <c r="X10" s="46"/>
    </row>
    <row r="11" spans="1:32" x14ac:dyDescent="0.3">
      <c r="B11" s="46"/>
      <c r="C11" s="46"/>
      <c r="D11" s="46"/>
      <c r="E11" s="69"/>
      <c r="F11" s="69"/>
      <c r="G11" s="46"/>
      <c r="H11" s="46"/>
      <c r="I11" s="46"/>
      <c r="J11" s="71"/>
      <c r="K11" s="71"/>
      <c r="L11" s="72"/>
      <c r="M11" s="46"/>
      <c r="N11" s="46"/>
      <c r="O11" s="46"/>
      <c r="P11" s="46"/>
      <c r="Q11" s="46"/>
      <c r="R11" s="46"/>
      <c r="S11" s="46"/>
      <c r="T11" s="46"/>
      <c r="U11" s="46"/>
      <c r="V11" s="46"/>
      <c r="W11" s="46"/>
      <c r="X11" s="46"/>
    </row>
    <row r="12" spans="1:32" x14ac:dyDescent="0.3">
      <c r="B12" s="46"/>
      <c r="C12" s="46"/>
      <c r="D12" s="46"/>
      <c r="E12" s="69"/>
      <c r="F12" s="69"/>
      <c r="G12" s="46"/>
      <c r="H12" s="46"/>
      <c r="I12" s="46"/>
      <c r="J12" s="71"/>
      <c r="K12" s="71"/>
      <c r="L12" s="72"/>
      <c r="M12" s="46"/>
      <c r="N12" s="46"/>
      <c r="O12" s="46"/>
      <c r="P12" s="46"/>
      <c r="Q12" s="46"/>
      <c r="R12" s="46"/>
      <c r="S12" s="46"/>
      <c r="T12" s="46"/>
      <c r="U12" s="46"/>
      <c r="V12" s="46"/>
      <c r="W12" s="46"/>
      <c r="X12" s="46"/>
    </row>
    <row r="13" spans="1:32" x14ac:dyDescent="0.3">
      <c r="B13" s="46"/>
      <c r="C13" s="46"/>
      <c r="D13" s="46"/>
      <c r="E13" s="69"/>
      <c r="F13" s="69"/>
      <c r="G13" s="46"/>
      <c r="H13" s="46"/>
      <c r="I13" s="46"/>
      <c r="J13" s="71"/>
      <c r="K13" s="71"/>
      <c r="L13" s="72"/>
      <c r="M13" s="46"/>
      <c r="N13" s="46"/>
      <c r="O13" s="46"/>
      <c r="P13" s="46"/>
      <c r="Q13" s="46"/>
      <c r="R13" s="46"/>
      <c r="S13" s="46"/>
      <c r="T13" s="46"/>
      <c r="U13" s="46"/>
      <c r="V13" s="46"/>
      <c r="W13" s="46"/>
      <c r="X13" s="46"/>
    </row>
    <row r="14" spans="1:32" s="49" customFormat="1" ht="49.5" customHeight="1" x14ac:dyDescent="0.25">
      <c r="B14" s="246" t="s">
        <v>24</v>
      </c>
      <c r="C14" s="246"/>
      <c r="D14" s="246"/>
      <c r="E14" s="246"/>
      <c r="F14" s="246"/>
      <c r="G14" s="246"/>
      <c r="H14" s="246"/>
      <c r="I14" s="246"/>
      <c r="J14" s="73"/>
      <c r="K14" s="73"/>
      <c r="L14" s="74"/>
      <c r="M14" s="48"/>
      <c r="N14" s="48"/>
      <c r="O14" s="48"/>
      <c r="P14" s="48"/>
      <c r="Q14" s="48"/>
      <c r="R14" s="48"/>
      <c r="S14" s="48"/>
      <c r="T14" s="48"/>
      <c r="U14" s="48"/>
      <c r="V14" s="48"/>
      <c r="W14" s="48"/>
      <c r="X14" s="48"/>
      <c r="Y14" s="48"/>
      <c r="Z14" s="48"/>
      <c r="AA14" s="48"/>
      <c r="AB14" s="48"/>
      <c r="AC14" s="48"/>
      <c r="AD14" s="48"/>
      <c r="AE14" s="48"/>
      <c r="AF14" s="48"/>
    </row>
    <row r="15" spans="1:32" s="49" customFormat="1" ht="123.75" customHeight="1" thickBot="1" x14ac:dyDescent="0.3">
      <c r="B15" s="77" t="s">
        <v>25</v>
      </c>
      <c r="C15" s="77" t="s">
        <v>6</v>
      </c>
      <c r="D15" s="78" t="s">
        <v>8</v>
      </c>
      <c r="E15" s="79" t="s">
        <v>26</v>
      </c>
      <c r="F15" s="79" t="s">
        <v>27</v>
      </c>
      <c r="G15" s="79" t="s">
        <v>28</v>
      </c>
      <c r="H15" s="80" t="s">
        <v>29</v>
      </c>
      <c r="I15" s="79" t="s">
        <v>30</v>
      </c>
      <c r="J15" s="73"/>
      <c r="K15" s="73"/>
      <c r="L15" s="74"/>
      <c r="M15" s="48"/>
      <c r="N15" s="48"/>
      <c r="O15" s="48"/>
      <c r="P15" s="48"/>
      <c r="Q15" s="48"/>
      <c r="R15" s="48"/>
      <c r="S15" s="48"/>
      <c r="T15" s="48"/>
      <c r="U15" s="48"/>
      <c r="V15" s="48"/>
      <c r="W15" s="48"/>
      <c r="X15" s="48"/>
      <c r="Y15" s="48"/>
      <c r="Z15" s="48"/>
      <c r="AA15" s="48"/>
      <c r="AB15" s="48"/>
      <c r="AC15" s="48"/>
      <c r="AD15" s="48"/>
      <c r="AE15" s="48"/>
      <c r="AF15" s="48"/>
    </row>
    <row r="16" spans="1:32" s="49" customFormat="1" ht="71.25" customHeight="1" x14ac:dyDescent="0.25">
      <c r="A16" s="103" t="str">
        <f>1&amp;E16</f>
        <v>1a</v>
      </c>
      <c r="B16" s="257" t="s">
        <v>31</v>
      </c>
      <c r="C16" s="221" t="s">
        <v>32</v>
      </c>
      <c r="D16" s="254" t="s">
        <v>33</v>
      </c>
      <c r="E16" s="81" t="s">
        <v>34</v>
      </c>
      <c r="F16" s="82" t="s">
        <v>35</v>
      </c>
      <c r="G16" s="112" t="s">
        <v>39</v>
      </c>
      <c r="H16" s="113" t="s">
        <v>215</v>
      </c>
      <c r="I16" s="104" t="str">
        <f>+IF(G16="Si","Mantenimiento del control",IF(G16="En proceso","Oportunidad de mejora","Deficiencia de control"))</f>
        <v>Mantenimiento del control</v>
      </c>
      <c r="J16" s="105">
        <f t="shared" ref="J16:J27" si="0">+IF(G16="Si",20,IF(G16="En proceso",10,0))</f>
        <v>20</v>
      </c>
      <c r="K16" s="105">
        <v>0.123</v>
      </c>
      <c r="L16" s="105">
        <f>+J16+K16</f>
        <v>20.123000000000001</v>
      </c>
    </row>
    <row r="17" spans="1:32" s="49" customFormat="1" ht="63" x14ac:dyDescent="0.25">
      <c r="A17" s="103" t="str">
        <f t="shared" ref="A17:A27" si="1">1&amp;E17</f>
        <v>1b</v>
      </c>
      <c r="B17" s="258"/>
      <c r="C17" s="222"/>
      <c r="D17" s="255"/>
      <c r="E17" s="83" t="s">
        <v>37</v>
      </c>
      <c r="F17" s="84" t="s">
        <v>38</v>
      </c>
      <c r="G17" s="114" t="s">
        <v>39</v>
      </c>
      <c r="H17" s="115" t="s">
        <v>216</v>
      </c>
      <c r="I17" s="106" t="str">
        <f t="shared" ref="I17:I59" si="2">+IF(G17="Si","Mantenimiento del control",IF(G17="En proceso","Oportunidad de mejora","Deficiencia de control"))</f>
        <v>Mantenimiento del control</v>
      </c>
      <c r="J17" s="107">
        <f t="shared" si="0"/>
        <v>20</v>
      </c>
      <c r="K17" s="105">
        <v>0.1234</v>
      </c>
      <c r="L17" s="105">
        <f t="shared" ref="L17:L59" si="3">+J17+K17</f>
        <v>20.1234</v>
      </c>
    </row>
    <row r="18" spans="1:32" s="49" customFormat="1" ht="64.5" customHeight="1" x14ac:dyDescent="0.25">
      <c r="A18" s="103" t="str">
        <f t="shared" si="1"/>
        <v>1c</v>
      </c>
      <c r="B18" s="258"/>
      <c r="C18" s="222"/>
      <c r="D18" s="255"/>
      <c r="E18" s="83" t="s">
        <v>40</v>
      </c>
      <c r="F18" s="85" t="s">
        <v>41</v>
      </c>
      <c r="G18" s="116" t="s">
        <v>39</v>
      </c>
      <c r="H18" s="117" t="s">
        <v>217</v>
      </c>
      <c r="I18" s="108" t="str">
        <f t="shared" si="2"/>
        <v>Mantenimiento del control</v>
      </c>
      <c r="J18" s="107">
        <f t="shared" si="0"/>
        <v>20</v>
      </c>
      <c r="K18" s="105">
        <v>0.12345</v>
      </c>
      <c r="L18" s="105">
        <f t="shared" si="3"/>
        <v>20.123449999999998</v>
      </c>
    </row>
    <row r="19" spans="1:32" s="49" customFormat="1" ht="37.5" customHeight="1" x14ac:dyDescent="0.25">
      <c r="A19" s="103" t="str">
        <f t="shared" si="1"/>
        <v>1d</v>
      </c>
      <c r="B19" s="258"/>
      <c r="C19" s="222"/>
      <c r="D19" s="255"/>
      <c r="E19" s="83" t="s">
        <v>42</v>
      </c>
      <c r="F19" s="85" t="s">
        <v>43</v>
      </c>
      <c r="G19" s="116" t="s">
        <v>39</v>
      </c>
      <c r="H19" s="117" t="s">
        <v>218</v>
      </c>
      <c r="I19" s="108" t="str">
        <f t="shared" si="2"/>
        <v>Mantenimiento del control</v>
      </c>
      <c r="J19" s="107">
        <f t="shared" si="0"/>
        <v>20</v>
      </c>
      <c r="K19" s="105">
        <v>0.123456</v>
      </c>
      <c r="L19" s="105">
        <f t="shared" si="3"/>
        <v>20.123456000000001</v>
      </c>
    </row>
    <row r="20" spans="1:32" s="49" customFormat="1" ht="56.25" customHeight="1" x14ac:dyDescent="0.25">
      <c r="A20" s="103" t="str">
        <f t="shared" si="1"/>
        <v>1e</v>
      </c>
      <c r="B20" s="258"/>
      <c r="C20" s="222"/>
      <c r="D20" s="255"/>
      <c r="E20" s="83" t="s">
        <v>44</v>
      </c>
      <c r="F20" s="85" t="s">
        <v>45</v>
      </c>
      <c r="G20" s="116" t="s">
        <v>39</v>
      </c>
      <c r="H20" s="117" t="s">
        <v>219</v>
      </c>
      <c r="I20" s="108" t="str">
        <f t="shared" si="2"/>
        <v>Mantenimiento del control</v>
      </c>
      <c r="J20" s="107">
        <f t="shared" si="0"/>
        <v>20</v>
      </c>
      <c r="K20" s="105">
        <v>0.12345678</v>
      </c>
      <c r="L20" s="105">
        <f t="shared" si="3"/>
        <v>20.123456780000001</v>
      </c>
    </row>
    <row r="21" spans="1:32" s="49" customFormat="1" ht="63.75" customHeight="1" x14ac:dyDescent="0.25">
      <c r="A21" s="103" t="str">
        <f t="shared" si="1"/>
        <v>1f</v>
      </c>
      <c r="B21" s="258"/>
      <c r="C21" s="222"/>
      <c r="D21" s="255"/>
      <c r="E21" s="83" t="s">
        <v>46</v>
      </c>
      <c r="F21" s="85" t="s">
        <v>47</v>
      </c>
      <c r="G21" s="116" t="s">
        <v>39</v>
      </c>
      <c r="H21" s="117" t="s">
        <v>190</v>
      </c>
      <c r="I21" s="108" t="str">
        <f t="shared" si="2"/>
        <v>Mantenimiento del control</v>
      </c>
      <c r="J21" s="107">
        <f t="shared" si="0"/>
        <v>20</v>
      </c>
      <c r="K21" s="105">
        <v>0.123456789</v>
      </c>
      <c r="L21" s="105">
        <f t="shared" si="3"/>
        <v>20.123456788999999</v>
      </c>
    </row>
    <row r="22" spans="1:32" s="49" customFormat="1" ht="65.25" customHeight="1" x14ac:dyDescent="0.25">
      <c r="A22" s="103" t="str">
        <f t="shared" si="1"/>
        <v>1g</v>
      </c>
      <c r="B22" s="258"/>
      <c r="C22" s="222"/>
      <c r="D22" s="255"/>
      <c r="E22" s="83" t="s">
        <v>48</v>
      </c>
      <c r="F22" s="85" t="s">
        <v>49</v>
      </c>
      <c r="G22" s="116" t="s">
        <v>39</v>
      </c>
      <c r="H22" s="163" t="s">
        <v>196</v>
      </c>
      <c r="I22" s="108" t="str">
        <f t="shared" si="2"/>
        <v>Mantenimiento del control</v>
      </c>
      <c r="J22" s="107">
        <f t="shared" si="0"/>
        <v>20</v>
      </c>
      <c r="K22" s="105">
        <v>0.12345678910000001</v>
      </c>
      <c r="L22" s="105">
        <f t="shared" si="3"/>
        <v>20.1234567891</v>
      </c>
    </row>
    <row r="23" spans="1:32" s="49" customFormat="1" ht="62.25" customHeight="1" x14ac:dyDescent="0.25">
      <c r="A23" s="103" t="str">
        <f t="shared" si="1"/>
        <v>1h</v>
      </c>
      <c r="B23" s="258"/>
      <c r="C23" s="222"/>
      <c r="D23" s="255"/>
      <c r="E23" s="83" t="s">
        <v>50</v>
      </c>
      <c r="F23" s="85" t="s">
        <v>51</v>
      </c>
      <c r="G23" s="116" t="s">
        <v>39</v>
      </c>
      <c r="H23" s="117" t="s">
        <v>192</v>
      </c>
      <c r="I23" s="108" t="str">
        <f t="shared" si="2"/>
        <v>Mantenimiento del control</v>
      </c>
      <c r="J23" s="107">
        <f t="shared" si="0"/>
        <v>20</v>
      </c>
      <c r="K23" s="105">
        <v>0.12345678911999999</v>
      </c>
      <c r="L23" s="105">
        <f t="shared" si="3"/>
        <v>20.123456789119999</v>
      </c>
    </row>
    <row r="24" spans="1:32" s="49" customFormat="1" ht="57.75" customHeight="1" x14ac:dyDescent="0.25">
      <c r="A24" s="103" t="str">
        <f t="shared" si="1"/>
        <v>1i</v>
      </c>
      <c r="B24" s="258"/>
      <c r="C24" s="222"/>
      <c r="D24" s="255"/>
      <c r="E24" s="83" t="s">
        <v>52</v>
      </c>
      <c r="F24" s="85" t="s">
        <v>53</v>
      </c>
      <c r="G24" s="116" t="s">
        <v>39</v>
      </c>
      <c r="H24" s="117" t="s">
        <v>191</v>
      </c>
      <c r="I24" s="108" t="str">
        <f t="shared" si="2"/>
        <v>Mantenimiento del control</v>
      </c>
      <c r="J24" s="107">
        <f t="shared" si="0"/>
        <v>20</v>
      </c>
      <c r="K24" s="105">
        <v>0.123456789123</v>
      </c>
      <c r="L24" s="105">
        <f t="shared" si="3"/>
        <v>20.123456789123001</v>
      </c>
    </row>
    <row r="25" spans="1:32" s="49" customFormat="1" ht="52.5" customHeight="1" x14ac:dyDescent="0.25">
      <c r="A25" s="103" t="str">
        <f t="shared" si="1"/>
        <v>1j</v>
      </c>
      <c r="B25" s="258"/>
      <c r="C25" s="222"/>
      <c r="D25" s="255"/>
      <c r="E25" s="83" t="s">
        <v>54</v>
      </c>
      <c r="F25" s="85" t="s">
        <v>55</v>
      </c>
      <c r="G25" s="116" t="s">
        <v>39</v>
      </c>
      <c r="H25" s="117" t="s">
        <v>193</v>
      </c>
      <c r="I25" s="108" t="str">
        <f t="shared" si="2"/>
        <v>Mantenimiento del control</v>
      </c>
      <c r="J25" s="107">
        <f t="shared" si="0"/>
        <v>20</v>
      </c>
      <c r="K25" s="105">
        <v>0.1234567891234</v>
      </c>
      <c r="L25" s="105">
        <f t="shared" si="3"/>
        <v>20.123456789123399</v>
      </c>
    </row>
    <row r="26" spans="1:32" s="49" customFormat="1" ht="42" customHeight="1" x14ac:dyDescent="0.25">
      <c r="A26" s="103" t="str">
        <f t="shared" si="1"/>
        <v>1k</v>
      </c>
      <c r="B26" s="258"/>
      <c r="C26" s="222"/>
      <c r="D26" s="255"/>
      <c r="E26" s="83" t="s">
        <v>56</v>
      </c>
      <c r="F26" s="85" t="s">
        <v>57</v>
      </c>
      <c r="G26" s="116" t="s">
        <v>39</v>
      </c>
      <c r="H26" s="117" t="s">
        <v>225</v>
      </c>
      <c r="I26" s="108" t="str">
        <f t="shared" si="2"/>
        <v>Mantenimiento del control</v>
      </c>
      <c r="J26" s="107">
        <f t="shared" si="0"/>
        <v>20</v>
      </c>
      <c r="K26" s="105">
        <v>0.12345678912345</v>
      </c>
      <c r="L26" s="105">
        <f t="shared" si="3"/>
        <v>20.123456789123448</v>
      </c>
    </row>
    <row r="27" spans="1:32" s="49" customFormat="1" ht="33.75" thickBot="1" x14ac:dyDescent="0.3">
      <c r="A27" s="103" t="str">
        <f t="shared" si="1"/>
        <v>1l</v>
      </c>
      <c r="B27" s="259"/>
      <c r="C27" s="223"/>
      <c r="D27" s="256"/>
      <c r="E27" s="86" t="s">
        <v>58</v>
      </c>
      <c r="F27" s="87" t="s">
        <v>59</v>
      </c>
      <c r="G27" s="118" t="s">
        <v>39</v>
      </c>
      <c r="H27" s="119" t="s">
        <v>194</v>
      </c>
      <c r="I27" s="109" t="str">
        <f t="shared" si="2"/>
        <v>Mantenimiento del control</v>
      </c>
      <c r="J27" s="107">
        <f t="shared" si="0"/>
        <v>20</v>
      </c>
      <c r="K27" s="105">
        <v>0.12345678912345601</v>
      </c>
      <c r="L27" s="105">
        <f t="shared" si="3"/>
        <v>20.123456789123455</v>
      </c>
    </row>
    <row r="28" spans="1:32" s="49" customFormat="1" ht="44.25" customHeight="1" x14ac:dyDescent="0.25">
      <c r="A28" s="103" t="str">
        <f>2&amp;E28</f>
        <v>2a</v>
      </c>
      <c r="B28" s="260" t="s">
        <v>60</v>
      </c>
      <c r="C28" s="224" t="s">
        <v>61</v>
      </c>
      <c r="D28" s="263" t="s">
        <v>62</v>
      </c>
      <c r="E28" s="81" t="s">
        <v>34</v>
      </c>
      <c r="F28" s="82" t="s">
        <v>63</v>
      </c>
      <c r="G28" s="112" t="s">
        <v>39</v>
      </c>
      <c r="H28" s="113" t="s">
        <v>220</v>
      </c>
      <c r="I28" s="104" t="str">
        <f t="shared" si="2"/>
        <v>Mantenimiento del control</v>
      </c>
      <c r="J28" s="105">
        <f>+IF(G28="Si",40,IF(G28="En proceso",30,20))</f>
        <v>40</v>
      </c>
      <c r="K28" s="105">
        <v>0.23</v>
      </c>
      <c r="L28" s="105">
        <f t="shared" si="3"/>
        <v>40.229999999999997</v>
      </c>
    </row>
    <row r="29" spans="1:32" s="49" customFormat="1" ht="63" x14ac:dyDescent="0.25">
      <c r="A29" s="103" t="str">
        <f t="shared" ref="A29:A31" si="4">2&amp;E29</f>
        <v>2b</v>
      </c>
      <c r="B29" s="261"/>
      <c r="C29" s="225"/>
      <c r="D29" s="239"/>
      <c r="E29" s="83" t="s">
        <v>37</v>
      </c>
      <c r="F29" s="85" t="s">
        <v>64</v>
      </c>
      <c r="G29" s="116" t="s">
        <v>39</v>
      </c>
      <c r="H29" s="117" t="s">
        <v>229</v>
      </c>
      <c r="I29" s="108" t="str">
        <f t="shared" si="2"/>
        <v>Mantenimiento del control</v>
      </c>
      <c r="J29" s="105">
        <f>+IF(G29="Si",40,IF(G29="En proceso",30,20))</f>
        <v>40</v>
      </c>
      <c r="K29" s="105">
        <v>0.23400000000000001</v>
      </c>
      <c r="L29" s="105">
        <f t="shared" si="3"/>
        <v>40.234000000000002</v>
      </c>
    </row>
    <row r="30" spans="1:32" s="49" customFormat="1" ht="47.25" x14ac:dyDescent="0.25">
      <c r="A30" s="103" t="str">
        <f t="shared" si="4"/>
        <v>2c</v>
      </c>
      <c r="B30" s="261"/>
      <c r="C30" s="225"/>
      <c r="D30" s="239"/>
      <c r="E30" s="83" t="s">
        <v>40</v>
      </c>
      <c r="F30" s="85" t="s">
        <v>65</v>
      </c>
      <c r="G30" s="116" t="s">
        <v>39</v>
      </c>
      <c r="H30" s="117" t="s">
        <v>214</v>
      </c>
      <c r="I30" s="108" t="str">
        <f t="shared" si="2"/>
        <v>Mantenimiento del control</v>
      </c>
      <c r="J30" s="105">
        <f>+IF(G30="Si",40,IF(G30="En proceso",30,20))</f>
        <v>40</v>
      </c>
      <c r="K30" s="105">
        <v>0.23449999999999999</v>
      </c>
      <c r="L30" s="105">
        <f t="shared" si="3"/>
        <v>40.234499999999997</v>
      </c>
    </row>
    <row r="31" spans="1:32" s="49" customFormat="1" ht="63.75" thickBot="1" x14ac:dyDescent="0.3">
      <c r="A31" s="103" t="str">
        <f t="shared" si="4"/>
        <v>2d</v>
      </c>
      <c r="B31" s="262"/>
      <c r="C31" s="226"/>
      <c r="D31" s="264"/>
      <c r="E31" s="86" t="s">
        <v>42</v>
      </c>
      <c r="F31" s="87" t="s">
        <v>66</v>
      </c>
      <c r="G31" s="118" t="s">
        <v>39</v>
      </c>
      <c r="H31" s="119" t="s">
        <v>213</v>
      </c>
      <c r="I31" s="109" t="str">
        <f t="shared" si="2"/>
        <v>Mantenimiento del control</v>
      </c>
      <c r="J31" s="105">
        <f>+IF(G31="Si",40,IF(G31="En proceso",30,20))</f>
        <v>40</v>
      </c>
      <c r="K31" s="105">
        <v>0.23455999999999999</v>
      </c>
      <c r="L31" s="105">
        <f t="shared" si="3"/>
        <v>40.234560000000002</v>
      </c>
    </row>
    <row r="32" spans="1:32" s="49" customFormat="1" ht="49.5" customHeight="1" x14ac:dyDescent="0.25">
      <c r="A32" s="103" t="str">
        <f>3&amp;E32</f>
        <v>3a</v>
      </c>
      <c r="B32" s="236" t="s">
        <v>67</v>
      </c>
      <c r="C32" s="236" t="s">
        <v>61</v>
      </c>
      <c r="D32" s="237" t="s">
        <v>68</v>
      </c>
      <c r="E32" s="88" t="s">
        <v>34</v>
      </c>
      <c r="F32" s="85" t="s">
        <v>69</v>
      </c>
      <c r="G32" s="116" t="s">
        <v>39</v>
      </c>
      <c r="H32" s="117" t="s">
        <v>230</v>
      </c>
      <c r="I32" s="108" t="str">
        <f t="shared" si="2"/>
        <v>Mantenimiento del control</v>
      </c>
      <c r="J32" s="105">
        <f t="shared" ref="J32:J37" si="5">+IF(G32="Si",40,IF(G32="En proceso",30,20))</f>
        <v>40</v>
      </c>
      <c r="K32" s="110">
        <v>0.234567</v>
      </c>
      <c r="L32" s="105">
        <f t="shared" ref="L32:L37" si="6">+J32+K32</f>
        <v>40.234566999999998</v>
      </c>
      <c r="M32" s="48"/>
      <c r="N32" s="48"/>
      <c r="O32" s="48"/>
      <c r="P32" s="48"/>
      <c r="Q32" s="48"/>
      <c r="R32" s="48"/>
      <c r="S32" s="48"/>
      <c r="T32" s="48"/>
      <c r="U32" s="48"/>
      <c r="V32" s="48"/>
      <c r="W32" s="48"/>
      <c r="X32" s="48"/>
      <c r="Y32" s="48"/>
      <c r="Z32" s="48"/>
      <c r="AA32" s="48"/>
      <c r="AB32" s="48"/>
      <c r="AC32" s="48"/>
      <c r="AD32" s="48"/>
      <c r="AE32" s="48"/>
      <c r="AF32" s="48"/>
    </row>
    <row r="33" spans="1:32" s="49" customFormat="1" ht="49.5" customHeight="1" x14ac:dyDescent="0.25">
      <c r="A33" s="103" t="str">
        <f t="shared" ref="A33:A34" si="7">3&amp;E33</f>
        <v>3b</v>
      </c>
      <c r="B33" s="236"/>
      <c r="C33" s="236"/>
      <c r="D33" s="237"/>
      <c r="E33" s="88" t="s">
        <v>37</v>
      </c>
      <c r="F33" s="85" t="s">
        <v>70</v>
      </c>
      <c r="G33" s="116" t="s">
        <v>39</v>
      </c>
      <c r="H33" s="117" t="s">
        <v>195</v>
      </c>
      <c r="I33" s="108" t="str">
        <f t="shared" si="2"/>
        <v>Mantenimiento del control</v>
      </c>
      <c r="J33" s="105">
        <f t="shared" si="5"/>
        <v>40</v>
      </c>
      <c r="K33" s="110">
        <v>0.23456779999999999</v>
      </c>
      <c r="L33" s="105">
        <f t="shared" si="6"/>
        <v>40.234567800000001</v>
      </c>
      <c r="M33" s="48"/>
      <c r="N33" s="48"/>
      <c r="O33" s="48"/>
      <c r="P33" s="48"/>
      <c r="Q33" s="48"/>
      <c r="R33" s="48"/>
      <c r="S33" s="48"/>
      <c r="T33" s="48"/>
      <c r="U33" s="48"/>
      <c r="V33" s="48"/>
      <c r="W33" s="48"/>
      <c r="X33" s="48"/>
      <c r="Y33" s="48"/>
      <c r="Z33" s="48"/>
      <c r="AA33" s="48"/>
      <c r="AB33" s="48"/>
      <c r="AC33" s="48"/>
      <c r="AD33" s="48"/>
      <c r="AE33" s="48"/>
      <c r="AF33" s="48"/>
    </row>
    <row r="34" spans="1:32" s="49" customFormat="1" ht="66" customHeight="1" thickBot="1" x14ac:dyDescent="0.3">
      <c r="A34" s="103" t="str">
        <f t="shared" si="7"/>
        <v>3c</v>
      </c>
      <c r="B34" s="236"/>
      <c r="C34" s="236"/>
      <c r="D34" s="237"/>
      <c r="E34" s="88" t="s">
        <v>40</v>
      </c>
      <c r="F34" s="85" t="s">
        <v>71</v>
      </c>
      <c r="G34" s="116" t="s">
        <v>39</v>
      </c>
      <c r="H34" s="117" t="s">
        <v>231</v>
      </c>
      <c r="I34" s="108" t="str">
        <f t="shared" si="2"/>
        <v>Mantenimiento del control</v>
      </c>
      <c r="J34" s="105">
        <f t="shared" si="5"/>
        <v>40</v>
      </c>
      <c r="K34" s="110">
        <v>0.23456789</v>
      </c>
      <c r="L34" s="105">
        <f t="shared" si="6"/>
        <v>40.234567890000001</v>
      </c>
      <c r="M34" s="48"/>
      <c r="N34" s="48"/>
      <c r="O34" s="48"/>
      <c r="P34" s="48"/>
      <c r="Q34" s="48"/>
      <c r="R34" s="48"/>
      <c r="S34" s="48"/>
      <c r="T34" s="48"/>
      <c r="U34" s="48"/>
      <c r="V34" s="48"/>
      <c r="W34" s="48"/>
      <c r="X34" s="48"/>
      <c r="Y34" s="48"/>
      <c r="Z34" s="48"/>
      <c r="AA34" s="48"/>
      <c r="AB34" s="48"/>
      <c r="AC34" s="48"/>
      <c r="AD34" s="48"/>
      <c r="AE34" s="48"/>
      <c r="AF34" s="48"/>
    </row>
    <row r="35" spans="1:32" s="49" customFormat="1" ht="60.75" customHeight="1" x14ac:dyDescent="0.25">
      <c r="A35" s="103" t="str">
        <f>4&amp;E35</f>
        <v>4a</v>
      </c>
      <c r="B35" s="238" t="s">
        <v>72</v>
      </c>
      <c r="C35" s="225" t="s">
        <v>61</v>
      </c>
      <c r="D35" s="239" t="s">
        <v>73</v>
      </c>
      <c r="E35" s="81" t="s">
        <v>34</v>
      </c>
      <c r="F35" s="82" t="s">
        <v>74</v>
      </c>
      <c r="G35" s="112" t="s">
        <v>39</v>
      </c>
      <c r="H35" s="113" t="s">
        <v>212</v>
      </c>
      <c r="I35" s="104" t="str">
        <f t="shared" si="2"/>
        <v>Mantenimiento del control</v>
      </c>
      <c r="J35" s="105">
        <f t="shared" si="5"/>
        <v>40</v>
      </c>
      <c r="K35" s="110">
        <v>0.23456789119999999</v>
      </c>
      <c r="L35" s="105">
        <f t="shared" si="6"/>
        <v>40.234567891200001</v>
      </c>
      <c r="M35" s="48"/>
      <c r="N35" s="48"/>
      <c r="O35" s="48"/>
      <c r="P35" s="48"/>
      <c r="Q35" s="48"/>
    </row>
    <row r="36" spans="1:32" s="49" customFormat="1" ht="57.75" customHeight="1" x14ac:dyDescent="0.25">
      <c r="A36" s="103" t="str">
        <f t="shared" ref="A36:A37" si="8">4&amp;E36</f>
        <v>4b</v>
      </c>
      <c r="B36" s="238"/>
      <c r="C36" s="225"/>
      <c r="D36" s="239"/>
      <c r="E36" s="83" t="s">
        <v>37</v>
      </c>
      <c r="F36" s="85" t="s">
        <v>75</v>
      </c>
      <c r="G36" s="116" t="s">
        <v>39</v>
      </c>
      <c r="H36" s="117" t="s">
        <v>231</v>
      </c>
      <c r="I36" s="108" t="str">
        <f t="shared" si="2"/>
        <v>Mantenimiento del control</v>
      </c>
      <c r="J36" s="105">
        <f t="shared" si="5"/>
        <v>40</v>
      </c>
      <c r="K36" s="110">
        <v>0.23456789122999999</v>
      </c>
      <c r="L36" s="105">
        <f t="shared" si="6"/>
        <v>40.23456789123</v>
      </c>
      <c r="M36" s="48"/>
      <c r="N36" s="48"/>
      <c r="O36" s="48"/>
      <c r="P36" s="48"/>
      <c r="Q36" s="48"/>
    </row>
    <row r="37" spans="1:32" s="49" customFormat="1" ht="49.5" customHeight="1" thickBot="1" x14ac:dyDescent="0.3">
      <c r="A37" s="103" t="str">
        <f t="shared" si="8"/>
        <v>4c</v>
      </c>
      <c r="B37" s="238"/>
      <c r="C37" s="225"/>
      <c r="D37" s="239"/>
      <c r="E37" s="83" t="s">
        <v>40</v>
      </c>
      <c r="F37" s="85" t="s">
        <v>76</v>
      </c>
      <c r="G37" s="116" t="s">
        <v>39</v>
      </c>
      <c r="H37" s="117" t="s">
        <v>232</v>
      </c>
      <c r="I37" s="108" t="str">
        <f t="shared" si="2"/>
        <v>Mantenimiento del control</v>
      </c>
      <c r="J37" s="105">
        <f t="shared" si="5"/>
        <v>40</v>
      </c>
      <c r="K37" s="110">
        <v>0.23456789123399999</v>
      </c>
      <c r="L37" s="105">
        <f t="shared" si="6"/>
        <v>40.234567891234001</v>
      </c>
      <c r="M37" s="48"/>
      <c r="N37" s="48"/>
      <c r="O37" s="48"/>
      <c r="P37" s="48"/>
      <c r="Q37" s="48"/>
    </row>
    <row r="38" spans="1:32" s="49" customFormat="1" ht="61.5" customHeight="1" x14ac:dyDescent="0.25">
      <c r="A38" s="103" t="str">
        <f>5&amp;E38</f>
        <v>5a</v>
      </c>
      <c r="B38" s="240" t="s">
        <v>77</v>
      </c>
      <c r="C38" s="227" t="s">
        <v>78</v>
      </c>
      <c r="D38" s="243" t="s">
        <v>79</v>
      </c>
      <c r="E38" s="81" t="s">
        <v>34</v>
      </c>
      <c r="F38" s="89" t="s">
        <v>80</v>
      </c>
      <c r="G38" s="120" t="s">
        <v>39</v>
      </c>
      <c r="H38" s="165" t="s">
        <v>240</v>
      </c>
      <c r="I38" s="111" t="str">
        <f t="shared" si="2"/>
        <v>Mantenimiento del control</v>
      </c>
      <c r="J38" s="105">
        <f>+IF(G38="Si",60,IF(G38="En proceso",50,40))</f>
        <v>60</v>
      </c>
      <c r="K38" s="105">
        <v>0.31</v>
      </c>
      <c r="L38" s="105">
        <f t="shared" si="3"/>
        <v>60.31</v>
      </c>
    </row>
    <row r="39" spans="1:32" s="49" customFormat="1" ht="82.5" x14ac:dyDescent="0.25">
      <c r="A39" s="103" t="str">
        <f t="shared" ref="A39:A42" si="9">5&amp;E39</f>
        <v>5b</v>
      </c>
      <c r="B39" s="241"/>
      <c r="C39" s="228"/>
      <c r="D39" s="244"/>
      <c r="E39" s="83" t="s">
        <v>37</v>
      </c>
      <c r="F39" s="85" t="s">
        <v>81</v>
      </c>
      <c r="G39" s="116" t="s">
        <v>39</v>
      </c>
      <c r="H39" s="164" t="s">
        <v>233</v>
      </c>
      <c r="I39" s="108" t="str">
        <f t="shared" si="2"/>
        <v>Mantenimiento del control</v>
      </c>
      <c r="J39" s="105">
        <f>+IF(G39="Si",60,IF(G39="En proceso",50,40))</f>
        <v>60</v>
      </c>
      <c r="K39" s="105">
        <v>0.32300000000000001</v>
      </c>
      <c r="L39" s="105">
        <f t="shared" si="3"/>
        <v>60.323</v>
      </c>
    </row>
    <row r="40" spans="1:32" s="49" customFormat="1" ht="47.25" x14ac:dyDescent="0.25">
      <c r="A40" s="103" t="str">
        <f t="shared" si="9"/>
        <v>5c</v>
      </c>
      <c r="B40" s="241"/>
      <c r="C40" s="228"/>
      <c r="D40" s="244"/>
      <c r="E40" s="83" t="s">
        <v>40</v>
      </c>
      <c r="F40" s="85" t="s">
        <v>82</v>
      </c>
      <c r="G40" s="116" t="s">
        <v>39</v>
      </c>
      <c r="H40" s="117" t="s">
        <v>223</v>
      </c>
      <c r="I40" s="108" t="str">
        <f t="shared" si="2"/>
        <v>Mantenimiento del control</v>
      </c>
      <c r="J40" s="105">
        <f>+IF(G40="Si",60,IF(G40="En proceso",50,40))</f>
        <v>60</v>
      </c>
      <c r="K40" s="105">
        <v>0.32400000000000001</v>
      </c>
      <c r="L40" s="105">
        <f t="shared" si="3"/>
        <v>60.323999999999998</v>
      </c>
    </row>
    <row r="41" spans="1:32" s="49" customFormat="1" ht="94.5" x14ac:dyDescent="0.25">
      <c r="A41" s="103" t="str">
        <f t="shared" si="9"/>
        <v>5d</v>
      </c>
      <c r="B41" s="241"/>
      <c r="C41" s="228"/>
      <c r="D41" s="244"/>
      <c r="E41" s="83" t="s">
        <v>42</v>
      </c>
      <c r="F41" s="85" t="s">
        <v>83</v>
      </c>
      <c r="G41" s="116" t="s">
        <v>39</v>
      </c>
      <c r="H41" s="117" t="s">
        <v>210</v>
      </c>
      <c r="I41" s="108" t="str">
        <f t="shared" si="2"/>
        <v>Mantenimiento del control</v>
      </c>
      <c r="J41" s="105">
        <f>+IF(G41="Si",60,IF(G41="En proceso",50,40))</f>
        <v>60</v>
      </c>
      <c r="K41" s="105">
        <v>0.32500000000000001</v>
      </c>
      <c r="L41" s="105">
        <f t="shared" si="3"/>
        <v>60.325000000000003</v>
      </c>
    </row>
    <row r="42" spans="1:32" s="49" customFormat="1" ht="48" thickBot="1" x14ac:dyDescent="0.3">
      <c r="A42" s="103" t="str">
        <f t="shared" si="9"/>
        <v>5e</v>
      </c>
      <c r="B42" s="242"/>
      <c r="C42" s="229"/>
      <c r="D42" s="245"/>
      <c r="E42" s="86" t="s">
        <v>44</v>
      </c>
      <c r="F42" s="87" t="s">
        <v>84</v>
      </c>
      <c r="G42" s="118" t="s">
        <v>39</v>
      </c>
      <c r="H42" s="119" t="s">
        <v>211</v>
      </c>
      <c r="I42" s="109" t="str">
        <f t="shared" si="2"/>
        <v>Mantenimiento del control</v>
      </c>
      <c r="J42" s="105">
        <f>+IF(G42="Si",60,IF(G42="En proceso",50,40))</f>
        <v>60</v>
      </c>
      <c r="K42" s="105">
        <v>0.32600000000000001</v>
      </c>
      <c r="L42" s="105">
        <f t="shared" si="3"/>
        <v>60.326000000000001</v>
      </c>
    </row>
    <row r="43" spans="1:32" s="49" customFormat="1" ht="40.5" customHeight="1" x14ac:dyDescent="0.25">
      <c r="A43" s="103" t="str">
        <f>6&amp;E43</f>
        <v>6a</v>
      </c>
      <c r="B43" s="250" t="s">
        <v>85</v>
      </c>
      <c r="C43" s="230" t="s">
        <v>86</v>
      </c>
      <c r="D43" s="247" t="s">
        <v>87</v>
      </c>
      <c r="E43" s="81" t="s">
        <v>34</v>
      </c>
      <c r="F43" s="82" t="s">
        <v>88</v>
      </c>
      <c r="G43" s="112" t="s">
        <v>39</v>
      </c>
      <c r="H43" s="113" t="s">
        <v>197</v>
      </c>
      <c r="I43" s="104" t="str">
        <f t="shared" si="2"/>
        <v>Mantenimiento del control</v>
      </c>
      <c r="J43" s="105">
        <f t="shared" ref="J43:J49" si="10">+IF(G43="Si",80,IF(G43="En proceso",70,60))</f>
        <v>80</v>
      </c>
      <c r="K43" s="105">
        <v>0.41199999999999998</v>
      </c>
      <c r="L43" s="105">
        <f t="shared" si="3"/>
        <v>80.412000000000006</v>
      </c>
    </row>
    <row r="44" spans="1:32" s="49" customFormat="1" ht="47.25" customHeight="1" x14ac:dyDescent="0.25">
      <c r="A44" s="103" t="str">
        <f t="shared" ref="A44:A49" si="11">6&amp;E44</f>
        <v>6b</v>
      </c>
      <c r="B44" s="251"/>
      <c r="C44" s="231"/>
      <c r="D44" s="248"/>
      <c r="E44" s="83" t="s">
        <v>37</v>
      </c>
      <c r="F44" s="85" t="s">
        <v>89</v>
      </c>
      <c r="G44" s="116" t="s">
        <v>39</v>
      </c>
      <c r="H44" s="117" t="s">
        <v>198</v>
      </c>
      <c r="I44" s="108" t="str">
        <f t="shared" si="2"/>
        <v>Mantenimiento del control</v>
      </c>
      <c r="J44" s="105">
        <f t="shared" si="10"/>
        <v>80</v>
      </c>
      <c r="K44" s="105">
        <v>0.4123</v>
      </c>
      <c r="L44" s="105">
        <f t="shared" si="3"/>
        <v>80.412300000000002</v>
      </c>
    </row>
    <row r="45" spans="1:32" s="49" customFormat="1" ht="47.25" x14ac:dyDescent="0.25">
      <c r="A45" s="103" t="str">
        <f t="shared" si="11"/>
        <v>6c</v>
      </c>
      <c r="B45" s="251"/>
      <c r="C45" s="231"/>
      <c r="D45" s="248"/>
      <c r="E45" s="83" t="s">
        <v>40</v>
      </c>
      <c r="F45" s="85" t="s">
        <v>90</v>
      </c>
      <c r="G45" s="116" t="s">
        <v>39</v>
      </c>
      <c r="H45" s="117" t="s">
        <v>199</v>
      </c>
      <c r="I45" s="108" t="str">
        <f t="shared" si="2"/>
        <v>Mantenimiento del control</v>
      </c>
      <c r="J45" s="105">
        <f t="shared" si="10"/>
        <v>80</v>
      </c>
      <c r="K45" s="105">
        <v>0.41233999999999998</v>
      </c>
      <c r="L45" s="105">
        <f t="shared" si="3"/>
        <v>80.41234</v>
      </c>
    </row>
    <row r="46" spans="1:32" s="49" customFormat="1" ht="49.5" x14ac:dyDescent="0.25">
      <c r="A46" s="103" t="str">
        <f t="shared" si="11"/>
        <v>6d</v>
      </c>
      <c r="B46" s="251"/>
      <c r="C46" s="231"/>
      <c r="D46" s="248"/>
      <c r="E46" s="83" t="s">
        <v>42</v>
      </c>
      <c r="F46" s="85" t="s">
        <v>91</v>
      </c>
      <c r="G46" s="116" t="s">
        <v>39</v>
      </c>
      <c r="H46" s="117" t="s">
        <v>200</v>
      </c>
      <c r="I46" s="108" t="str">
        <f t="shared" si="2"/>
        <v>Mantenimiento del control</v>
      </c>
      <c r="J46" s="105">
        <f t="shared" si="10"/>
        <v>80</v>
      </c>
      <c r="K46" s="105">
        <v>0.41234500000000002</v>
      </c>
      <c r="L46" s="105">
        <f t="shared" si="3"/>
        <v>80.412345000000002</v>
      </c>
    </row>
    <row r="47" spans="1:32" s="49" customFormat="1" ht="63" x14ac:dyDescent="0.25">
      <c r="A47" s="103" t="str">
        <f t="shared" si="11"/>
        <v>6e</v>
      </c>
      <c r="B47" s="251"/>
      <c r="C47" s="231"/>
      <c r="D47" s="248"/>
      <c r="E47" s="83" t="s">
        <v>44</v>
      </c>
      <c r="F47" s="85" t="s">
        <v>92</v>
      </c>
      <c r="G47" s="116" t="s">
        <v>39</v>
      </c>
      <c r="H47" s="117" t="s">
        <v>201</v>
      </c>
      <c r="I47" s="108" t="str">
        <f t="shared" si="2"/>
        <v>Mantenimiento del control</v>
      </c>
      <c r="J47" s="105">
        <f t="shared" si="10"/>
        <v>80</v>
      </c>
      <c r="K47" s="105">
        <v>0.41234559999999998</v>
      </c>
      <c r="L47" s="105">
        <f t="shared" si="3"/>
        <v>80.412345599999995</v>
      </c>
    </row>
    <row r="48" spans="1:32" s="49" customFormat="1" ht="63" x14ac:dyDescent="0.25">
      <c r="A48" s="103" t="str">
        <f t="shared" si="11"/>
        <v>6f</v>
      </c>
      <c r="B48" s="251"/>
      <c r="C48" s="231"/>
      <c r="D48" s="248"/>
      <c r="E48" s="83" t="s">
        <v>46</v>
      </c>
      <c r="F48" s="85" t="s">
        <v>93</v>
      </c>
      <c r="G48" s="116" t="s">
        <v>39</v>
      </c>
      <c r="H48" s="117" t="s">
        <v>202</v>
      </c>
      <c r="I48" s="108" t="str">
        <f t="shared" si="2"/>
        <v>Mantenimiento del control</v>
      </c>
      <c r="J48" s="105">
        <f t="shared" si="10"/>
        <v>80</v>
      </c>
      <c r="K48" s="105">
        <v>0.41234567</v>
      </c>
      <c r="L48" s="105">
        <f t="shared" si="3"/>
        <v>80.412345669999993</v>
      </c>
    </row>
    <row r="49" spans="1:17" s="49" customFormat="1" ht="116.25" thickBot="1" x14ac:dyDescent="0.3">
      <c r="A49" s="103" t="str">
        <f t="shared" si="11"/>
        <v>6g</v>
      </c>
      <c r="B49" s="252"/>
      <c r="C49" s="232"/>
      <c r="D49" s="249"/>
      <c r="E49" s="86" t="s">
        <v>48</v>
      </c>
      <c r="F49" s="87" t="s">
        <v>94</v>
      </c>
      <c r="G49" s="118" t="s">
        <v>39</v>
      </c>
      <c r="H49" s="119" t="s">
        <v>203</v>
      </c>
      <c r="I49" s="109" t="str">
        <f t="shared" si="2"/>
        <v>Mantenimiento del control</v>
      </c>
      <c r="J49" s="105">
        <f t="shared" si="10"/>
        <v>80</v>
      </c>
      <c r="K49" s="105">
        <v>0.41234567799999999</v>
      </c>
      <c r="L49" s="105">
        <f t="shared" si="3"/>
        <v>80.412345677999994</v>
      </c>
    </row>
    <row r="50" spans="1:17" s="49" customFormat="1" ht="54.75" customHeight="1" x14ac:dyDescent="0.25">
      <c r="A50" s="103" t="str">
        <f>7&amp;E50</f>
        <v>7a</v>
      </c>
      <c r="B50" s="218" t="s">
        <v>95</v>
      </c>
      <c r="C50" s="233" t="s">
        <v>96</v>
      </c>
      <c r="D50" s="215" t="s">
        <v>97</v>
      </c>
      <c r="E50" s="81" t="s">
        <v>34</v>
      </c>
      <c r="F50" s="82" t="s">
        <v>98</v>
      </c>
      <c r="G50" s="112" t="s">
        <v>39</v>
      </c>
      <c r="H50" s="113" t="s">
        <v>226</v>
      </c>
      <c r="I50" s="104" t="str">
        <f t="shared" si="2"/>
        <v>Mantenimiento del control</v>
      </c>
      <c r="J50" s="105">
        <f>+IF(G50="Si",120,IF(G50="En proceso",100,80))</f>
        <v>120</v>
      </c>
      <c r="K50" s="105">
        <v>0.85099999999999998</v>
      </c>
      <c r="L50" s="105">
        <f t="shared" si="3"/>
        <v>120.851</v>
      </c>
    </row>
    <row r="51" spans="1:17" s="49" customFormat="1" ht="94.5" x14ac:dyDescent="0.25">
      <c r="A51" s="103" t="str">
        <f t="shared" ref="A51:A53" si="12">7&amp;E51</f>
        <v>7d</v>
      </c>
      <c r="B51" s="219"/>
      <c r="C51" s="234"/>
      <c r="D51" s="216"/>
      <c r="E51" s="83" t="s">
        <v>42</v>
      </c>
      <c r="F51" s="85" t="s">
        <v>99</v>
      </c>
      <c r="G51" s="116" t="s">
        <v>39</v>
      </c>
      <c r="H51" s="117" t="s">
        <v>241</v>
      </c>
      <c r="I51" s="108" t="str">
        <f t="shared" si="2"/>
        <v>Mantenimiento del control</v>
      </c>
      <c r="J51" s="105">
        <f t="shared" ref="J51:J59" si="13">+IF(G51="Si",120,IF(G51="En proceso",100,80))</f>
        <v>120</v>
      </c>
      <c r="K51" s="105">
        <v>0.85119999999999996</v>
      </c>
      <c r="L51" s="105">
        <f t="shared" si="3"/>
        <v>120.85120000000001</v>
      </c>
    </row>
    <row r="52" spans="1:17" s="49" customFormat="1" ht="66" x14ac:dyDescent="0.25">
      <c r="A52" s="103" t="str">
        <f t="shared" si="12"/>
        <v>7f</v>
      </c>
      <c r="B52" s="219"/>
      <c r="C52" s="234"/>
      <c r="D52" s="216"/>
      <c r="E52" s="83" t="s">
        <v>46</v>
      </c>
      <c r="F52" s="85" t="s">
        <v>100</v>
      </c>
      <c r="G52" s="116" t="s">
        <v>39</v>
      </c>
      <c r="H52" s="117" t="s">
        <v>204</v>
      </c>
      <c r="I52" s="108" t="str">
        <f t="shared" si="2"/>
        <v>Mantenimiento del control</v>
      </c>
      <c r="J52" s="105">
        <f t="shared" si="13"/>
        <v>120</v>
      </c>
      <c r="K52" s="105">
        <v>0.85123000000000004</v>
      </c>
      <c r="L52" s="105">
        <f t="shared" si="3"/>
        <v>120.85123</v>
      </c>
    </row>
    <row r="53" spans="1:17" s="49" customFormat="1" ht="66.75" thickBot="1" x14ac:dyDescent="0.3">
      <c r="A53" s="103" t="str">
        <f t="shared" si="12"/>
        <v>7g</v>
      </c>
      <c r="B53" s="220"/>
      <c r="C53" s="235"/>
      <c r="D53" s="253"/>
      <c r="E53" s="86" t="s">
        <v>48</v>
      </c>
      <c r="F53" s="87" t="s">
        <v>101</v>
      </c>
      <c r="G53" s="118" t="s">
        <v>39</v>
      </c>
      <c r="H53" s="119" t="s">
        <v>227</v>
      </c>
      <c r="I53" s="109" t="str">
        <f t="shared" si="2"/>
        <v>Mantenimiento del control</v>
      </c>
      <c r="J53" s="105">
        <f t="shared" si="13"/>
        <v>120</v>
      </c>
      <c r="K53" s="105">
        <v>0.85123400000000005</v>
      </c>
      <c r="L53" s="105">
        <f t="shared" si="3"/>
        <v>120.85123400000001</v>
      </c>
    </row>
    <row r="54" spans="1:17" s="49" customFormat="1" ht="54.75" customHeight="1" thickBot="1" x14ac:dyDescent="0.3">
      <c r="A54" s="103" t="str">
        <f>8&amp;E54</f>
        <v>8h</v>
      </c>
      <c r="B54" s="161" t="s">
        <v>102</v>
      </c>
      <c r="C54" s="162" t="s">
        <v>96</v>
      </c>
      <c r="D54" s="76" t="s">
        <v>103</v>
      </c>
      <c r="E54" s="81" t="s">
        <v>50</v>
      </c>
      <c r="F54" s="82" t="s">
        <v>104</v>
      </c>
      <c r="G54" s="112" t="s">
        <v>36</v>
      </c>
      <c r="H54" s="113" t="s">
        <v>205</v>
      </c>
      <c r="I54" s="104" t="str">
        <f t="shared" si="2"/>
        <v>Deficiencia de control</v>
      </c>
      <c r="J54" s="105">
        <f t="shared" si="13"/>
        <v>80</v>
      </c>
      <c r="K54" s="105">
        <v>0.85123450000000001</v>
      </c>
      <c r="L54" s="105">
        <f t="shared" si="3"/>
        <v>80.851234500000004</v>
      </c>
    </row>
    <row r="55" spans="1:17" s="49" customFormat="1" ht="54.75" customHeight="1" x14ac:dyDescent="0.25">
      <c r="A55" s="103" t="str">
        <f>9&amp;E55</f>
        <v>9a</v>
      </c>
      <c r="B55" s="218" t="s">
        <v>105</v>
      </c>
      <c r="C55" s="233" t="s">
        <v>96</v>
      </c>
      <c r="D55" s="215" t="s">
        <v>106</v>
      </c>
      <c r="E55" s="81" t="s">
        <v>34</v>
      </c>
      <c r="F55" s="82" t="s">
        <v>107</v>
      </c>
      <c r="G55" s="112" t="s">
        <v>39</v>
      </c>
      <c r="H55" s="113" t="s">
        <v>224</v>
      </c>
      <c r="I55" s="104" t="str">
        <f t="shared" si="2"/>
        <v>Mantenimiento del control</v>
      </c>
      <c r="J55" s="105">
        <f t="shared" si="13"/>
        <v>120</v>
      </c>
      <c r="K55" s="110">
        <v>0.85123455999999997</v>
      </c>
      <c r="L55" s="105">
        <f t="shared" si="3"/>
        <v>120.85123455999999</v>
      </c>
      <c r="M55" s="48"/>
      <c r="N55" s="48"/>
      <c r="O55" s="48"/>
      <c r="P55" s="48"/>
      <c r="Q55" s="48"/>
    </row>
    <row r="56" spans="1:17" s="49" customFormat="1" ht="55.5" customHeight="1" x14ac:dyDescent="0.25">
      <c r="A56" s="103" t="str">
        <f t="shared" ref="A56:A59" si="14">9&amp;E56</f>
        <v>9b</v>
      </c>
      <c r="B56" s="219"/>
      <c r="C56" s="234"/>
      <c r="D56" s="216"/>
      <c r="E56" s="83" t="s">
        <v>37</v>
      </c>
      <c r="F56" s="85" t="s">
        <v>108</v>
      </c>
      <c r="G56" s="116" t="s">
        <v>39</v>
      </c>
      <c r="H56" s="117" t="s">
        <v>222</v>
      </c>
      <c r="I56" s="108" t="str">
        <f t="shared" si="2"/>
        <v>Mantenimiento del control</v>
      </c>
      <c r="J56" s="105">
        <f t="shared" si="13"/>
        <v>120</v>
      </c>
      <c r="K56" s="110">
        <v>0.851234567</v>
      </c>
      <c r="L56" s="105">
        <f t="shared" si="3"/>
        <v>120.85123456700001</v>
      </c>
      <c r="M56" s="48"/>
      <c r="N56" s="48"/>
      <c r="O56" s="48"/>
      <c r="P56" s="48"/>
      <c r="Q56" s="48"/>
    </row>
    <row r="57" spans="1:17" s="49" customFormat="1" ht="77.25" customHeight="1" x14ac:dyDescent="0.25">
      <c r="A57" s="103" t="str">
        <f t="shared" si="14"/>
        <v>9c</v>
      </c>
      <c r="B57" s="219"/>
      <c r="C57" s="234"/>
      <c r="D57" s="216"/>
      <c r="E57" s="83" t="s">
        <v>40</v>
      </c>
      <c r="F57" s="85" t="s">
        <v>109</v>
      </c>
      <c r="G57" s="116" t="s">
        <v>39</v>
      </c>
      <c r="H57" s="117" t="s">
        <v>206</v>
      </c>
      <c r="I57" s="108" t="str">
        <f t="shared" si="2"/>
        <v>Mantenimiento del control</v>
      </c>
      <c r="J57" s="105">
        <f t="shared" si="13"/>
        <v>120</v>
      </c>
      <c r="K57" s="110">
        <v>0.85123456779999995</v>
      </c>
      <c r="L57" s="105">
        <f t="shared" si="3"/>
        <v>120.85123456780001</v>
      </c>
      <c r="M57" s="48"/>
      <c r="N57" s="48"/>
      <c r="O57" s="48"/>
      <c r="P57" s="48"/>
      <c r="Q57" s="48"/>
    </row>
    <row r="58" spans="1:17" s="49" customFormat="1" ht="60" customHeight="1" x14ac:dyDescent="0.25">
      <c r="A58" s="103" t="str">
        <f t="shared" si="14"/>
        <v>9d</v>
      </c>
      <c r="B58" s="219"/>
      <c r="C58" s="234"/>
      <c r="D58" s="216"/>
      <c r="E58" s="83" t="s">
        <v>42</v>
      </c>
      <c r="F58" s="85" t="s">
        <v>110</v>
      </c>
      <c r="G58" s="116" t="s">
        <v>39</v>
      </c>
      <c r="H58" s="117" t="s">
        <v>228</v>
      </c>
      <c r="I58" s="108" t="str">
        <f t="shared" si="2"/>
        <v>Mantenimiento del control</v>
      </c>
      <c r="J58" s="105">
        <f t="shared" si="13"/>
        <v>120</v>
      </c>
      <c r="K58" s="110">
        <v>0.85123456788999996</v>
      </c>
      <c r="L58" s="105">
        <f t="shared" si="3"/>
        <v>120.85123456789</v>
      </c>
      <c r="M58" s="48"/>
      <c r="N58" s="48"/>
      <c r="O58" s="48"/>
      <c r="P58" s="48"/>
      <c r="Q58" s="48"/>
    </row>
    <row r="59" spans="1:17" s="49" customFormat="1" ht="57.75" customHeight="1" thickBot="1" x14ac:dyDescent="0.3">
      <c r="A59" s="103" t="str">
        <f t="shared" si="14"/>
        <v>9e</v>
      </c>
      <c r="B59" s="220"/>
      <c r="C59" s="234"/>
      <c r="D59" s="217"/>
      <c r="E59" s="86" t="s">
        <v>44</v>
      </c>
      <c r="F59" s="87" t="s">
        <v>111</v>
      </c>
      <c r="G59" s="118" t="s">
        <v>39</v>
      </c>
      <c r="H59" s="119" t="s">
        <v>228</v>
      </c>
      <c r="I59" s="109" t="str">
        <f t="shared" si="2"/>
        <v>Mantenimiento del control</v>
      </c>
      <c r="J59" s="105">
        <f t="shared" si="13"/>
        <v>120</v>
      </c>
      <c r="K59" s="110">
        <v>0.85123456789100005</v>
      </c>
      <c r="L59" s="105">
        <f t="shared" si="3"/>
        <v>120.851234567891</v>
      </c>
      <c r="M59" s="48"/>
      <c r="N59" s="48"/>
      <c r="O59" s="48"/>
      <c r="P59" s="48"/>
      <c r="Q59" s="48"/>
    </row>
  </sheetData>
  <sheetProtection algorithmName="SHA-512" hashValue="3f8q67IhQ+195mCCu45JxrnKZ5NQYpYn/4DMJ1qNlLoW+1h5DdlwjNz0RDsqicEeH5OxPhf5j92R5BAeBl6Iaw==" saltValue="5vY6GrPfNxnRatmVvJafnA==" spinCount="100000" sheet="1" objects="1" scenarios="1" formatCells="0" formatColumns="0" formatRows="0"/>
  <mergeCells count="25">
    <mergeCell ref="B14:I14"/>
    <mergeCell ref="D43:D49"/>
    <mergeCell ref="B43:B49"/>
    <mergeCell ref="D50:D53"/>
    <mergeCell ref="B50:B53"/>
    <mergeCell ref="D16:D27"/>
    <mergeCell ref="B16:B27"/>
    <mergeCell ref="B28:B31"/>
    <mergeCell ref="D28:D31"/>
    <mergeCell ref="D55:D59"/>
    <mergeCell ref="B55:B59"/>
    <mergeCell ref="C16:C27"/>
    <mergeCell ref="C28:C31"/>
    <mergeCell ref="C38:C42"/>
    <mergeCell ref="C43:C49"/>
    <mergeCell ref="C50:C53"/>
    <mergeCell ref="C32:C34"/>
    <mergeCell ref="C35:C37"/>
    <mergeCell ref="C55:C59"/>
    <mergeCell ref="D32:D34"/>
    <mergeCell ref="B32:B34"/>
    <mergeCell ref="B35:B37"/>
    <mergeCell ref="D35:D37"/>
    <mergeCell ref="B38:B42"/>
    <mergeCell ref="D38:D42"/>
  </mergeCells>
  <dataValidations count="2">
    <dataValidation type="list" allowBlank="1" showInputMessage="1" showErrorMessage="1" sqref="G55:G59 G16:G53" xr:uid="{00000000-0002-0000-0100-000000000000}">
      <formula1>"Si, No, En proceso"</formula1>
    </dataValidation>
    <dataValidation type="list" allowBlank="1" showInputMessage="1" showErrorMessage="1" sqref="G54" xr:uid="{00000000-0002-0000-0100-000001000000}">
      <formula1>"Si, No"</formula1>
    </dataValidation>
  </dataValidation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74"/>
  <sheetViews>
    <sheetView topLeftCell="A49" zoomScale="93" zoomScaleNormal="93" workbookViewId="0">
      <selection activeCell="E12" sqref="E12:F12"/>
    </sheetView>
  </sheetViews>
  <sheetFormatPr baseColWidth="10" defaultColWidth="11.42578125" defaultRowHeight="15" x14ac:dyDescent="0.25"/>
  <cols>
    <col min="3" max="3" width="22.85546875" customWidth="1"/>
    <col min="4" max="4" width="22.5703125" customWidth="1"/>
    <col min="5" max="5" width="53.42578125" customWidth="1"/>
    <col min="7" max="7" width="28.28515625" customWidth="1"/>
    <col min="8" max="8" width="4.85546875" customWidth="1"/>
    <col min="9" max="9" width="15.28515625" customWidth="1"/>
    <col min="10" max="10" width="22.42578125" customWidth="1"/>
    <col min="11" max="29" width="11.42578125" style="1"/>
  </cols>
  <sheetData>
    <row r="1" spans="1:11" x14ac:dyDescent="0.25">
      <c r="A1" s="1"/>
      <c r="B1" s="1"/>
      <c r="C1" s="1"/>
      <c r="D1" s="1"/>
      <c r="E1" s="1"/>
      <c r="F1" s="1"/>
      <c r="G1" s="1"/>
      <c r="H1" s="1"/>
      <c r="I1" s="1"/>
      <c r="J1" s="1"/>
    </row>
    <row r="2" spans="1:11" s="1" customFormat="1" x14ac:dyDescent="0.25"/>
    <row r="3" spans="1:11" s="1" customFormat="1" x14ac:dyDescent="0.25"/>
    <row r="4" spans="1:11" x14ac:dyDescent="0.25">
      <c r="A4" s="1"/>
      <c r="B4" s="1"/>
      <c r="C4" s="1"/>
      <c r="D4" s="1"/>
      <c r="E4" s="1"/>
      <c r="F4" s="1"/>
      <c r="G4" s="1"/>
      <c r="H4" s="1"/>
      <c r="I4" s="1"/>
      <c r="J4" s="1"/>
    </row>
    <row r="5" spans="1:11" x14ac:dyDescent="0.25">
      <c r="A5" s="1"/>
      <c r="B5" s="1"/>
      <c r="C5" s="1"/>
      <c r="D5" s="1"/>
      <c r="E5" s="1"/>
      <c r="F5" s="1"/>
      <c r="G5" s="1"/>
      <c r="H5" s="1"/>
      <c r="I5" s="1"/>
      <c r="J5" s="1"/>
    </row>
    <row r="6" spans="1:11" ht="15.75" thickBot="1" x14ac:dyDescent="0.3">
      <c r="A6" s="1"/>
      <c r="B6" s="1"/>
      <c r="C6" s="1"/>
      <c r="D6" s="1"/>
      <c r="E6" s="1"/>
      <c r="F6" s="1"/>
      <c r="G6" s="1"/>
      <c r="H6" s="1"/>
      <c r="I6" s="1"/>
      <c r="J6" s="1"/>
    </row>
    <row r="7" spans="1:11" ht="26.25" thickBot="1" x14ac:dyDescent="0.3">
      <c r="A7" s="1"/>
      <c r="B7" s="1"/>
      <c r="C7" s="296" t="s">
        <v>112</v>
      </c>
      <c r="D7" s="297"/>
      <c r="E7" s="297"/>
      <c r="F7" s="297"/>
      <c r="G7" s="297"/>
      <c r="H7" s="297"/>
      <c r="I7" s="297"/>
      <c r="J7" s="297"/>
      <c r="K7" s="298"/>
    </row>
    <row r="8" spans="1:11" s="1" customFormat="1" ht="15.75" thickBot="1" x14ac:dyDescent="0.3">
      <c r="C8" s="39"/>
      <c r="D8" s="39"/>
      <c r="E8" s="40"/>
      <c r="F8" s="40"/>
      <c r="G8" s="40"/>
      <c r="H8" s="40"/>
      <c r="I8" s="50"/>
      <c r="J8" s="40"/>
      <c r="K8" s="40"/>
    </row>
    <row r="9" spans="1:11" ht="21" thickBot="1" x14ac:dyDescent="0.3">
      <c r="A9" s="1"/>
      <c r="B9" s="1"/>
      <c r="C9" s="198" t="s">
        <v>15</v>
      </c>
      <c r="D9" s="199"/>
      <c r="E9" s="199" t="s">
        <v>16</v>
      </c>
      <c r="F9" s="210"/>
      <c r="G9" s="40"/>
      <c r="H9" s="40"/>
      <c r="I9" s="50"/>
      <c r="J9" s="40"/>
      <c r="K9" s="40"/>
    </row>
    <row r="10" spans="1:11" ht="54" customHeight="1" x14ac:dyDescent="0.25">
      <c r="A10" s="1"/>
      <c r="B10" s="1"/>
      <c r="C10" s="211" t="s">
        <v>17</v>
      </c>
      <c r="D10" s="212"/>
      <c r="E10" s="213" t="s">
        <v>18</v>
      </c>
      <c r="F10" s="214"/>
      <c r="G10" s="41"/>
      <c r="H10" s="42">
        <v>1</v>
      </c>
      <c r="I10" s="50"/>
      <c r="J10" s="40"/>
      <c r="K10" s="40"/>
    </row>
    <row r="11" spans="1:11" ht="46.5" customHeight="1" x14ac:dyDescent="0.25">
      <c r="A11" s="1"/>
      <c r="B11" s="1"/>
      <c r="C11" s="200" t="s">
        <v>19</v>
      </c>
      <c r="D11" s="201"/>
      <c r="E11" s="202" t="s">
        <v>113</v>
      </c>
      <c r="F11" s="203"/>
      <c r="G11" s="43" t="s">
        <v>114</v>
      </c>
      <c r="H11" s="42">
        <v>0.75</v>
      </c>
      <c r="I11" s="50"/>
      <c r="J11" s="40"/>
      <c r="K11" s="40"/>
    </row>
    <row r="12" spans="1:11" ht="70.5" customHeight="1" thickBot="1" x14ac:dyDescent="0.3">
      <c r="A12" s="1"/>
      <c r="B12" s="1"/>
      <c r="C12" s="204" t="s">
        <v>21</v>
      </c>
      <c r="D12" s="205"/>
      <c r="E12" s="206" t="s">
        <v>115</v>
      </c>
      <c r="F12" s="207"/>
      <c r="G12" s="44"/>
      <c r="H12" s="42">
        <v>0.25</v>
      </c>
      <c r="I12" s="50"/>
      <c r="J12" s="40"/>
      <c r="K12" s="40"/>
    </row>
    <row r="13" spans="1:11" s="1" customFormat="1" x14ac:dyDescent="0.25"/>
    <row r="14" spans="1:11" s="1" customFormat="1" x14ac:dyDescent="0.25"/>
    <row r="15" spans="1:11" s="1" customFormat="1" x14ac:dyDescent="0.25"/>
    <row r="16" spans="1:11" s="1" customFormat="1" ht="15.75" thickBot="1" x14ac:dyDescent="0.3"/>
    <row r="17" spans="1:10" x14ac:dyDescent="0.25">
      <c r="A17" s="1"/>
      <c r="B17" s="1"/>
      <c r="C17" s="288" t="s">
        <v>116</v>
      </c>
      <c r="D17" s="290" t="s">
        <v>117</v>
      </c>
      <c r="E17" s="291"/>
      <c r="F17" s="292" t="s">
        <v>118</v>
      </c>
      <c r="G17" s="294" t="s">
        <v>119</v>
      </c>
      <c r="H17" s="38"/>
      <c r="I17" s="283" t="s">
        <v>120</v>
      </c>
      <c r="J17" s="283" t="s">
        <v>121</v>
      </c>
    </row>
    <row r="18" spans="1:10" ht="36" customHeight="1" thickBot="1" x14ac:dyDescent="0.3">
      <c r="A18" s="1"/>
      <c r="B18" s="1"/>
      <c r="C18" s="289"/>
      <c r="D18" s="121" t="s">
        <v>122</v>
      </c>
      <c r="E18" s="122" t="s">
        <v>27</v>
      </c>
      <c r="F18" s="293"/>
      <c r="G18" s="295"/>
      <c r="H18" s="38"/>
      <c r="I18" s="284"/>
      <c r="J18" s="284"/>
    </row>
    <row r="19" spans="1:10" ht="65.25" customHeight="1" x14ac:dyDescent="0.25">
      <c r="A19" s="1"/>
      <c r="B19" s="1"/>
      <c r="C19" s="140">
        <v>1</v>
      </c>
      <c r="D19" s="285" t="s">
        <v>32</v>
      </c>
      <c r="E19" s="123" t="str">
        <f>+IFERROR(INDEX(Hoja1!$E$2:$E$45,MATCH('Análisis Resultados'!C19,Hoja1!$H$2:$H$45,0)),"")</f>
        <v>Documento interno o adopción del MECI actualizado</v>
      </c>
      <c r="F19" s="124" t="str">
        <f>+IFERROR(VLOOKUP(C19,Hoja1!$H$2:$I$45,2,0),"")</f>
        <v>Si</v>
      </c>
      <c r="G19" s="125" t="str">
        <f>+IF(F19="Si","Existe requerimiento pero se requiere actividades  dirigidas a su mantenimiento dentro del marco de las lineas de defensa.",IF(F19="En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H19" s="18"/>
      <c r="I19" s="141">
        <f>+IF(F19="Si",1,IF(F19="En proceso",0.5,0))</f>
        <v>1</v>
      </c>
      <c r="J19" s="267">
        <f>+AVERAGE(I19:I30)</f>
        <v>1</v>
      </c>
    </row>
    <row r="20" spans="1:10" ht="57" x14ac:dyDescent="0.25">
      <c r="A20" s="1"/>
      <c r="B20" s="1"/>
      <c r="C20" s="140">
        <v>2</v>
      </c>
      <c r="D20" s="286"/>
      <c r="E20" s="126" t="str">
        <f>+IFERROR(INDEX(Hoja1!$E$2:$E$45,MATCH('Análisis Resultados'!C20,Hoja1!$H$2:$H$45,0)),"")</f>
        <v>Un documento tal como un código de ética, integridad u otro que formalice los estándares de conducta, los principios institucionales o los valores del servicio público</v>
      </c>
      <c r="F20" s="127" t="str">
        <f>+IFERROR(VLOOKUP(C20,Hoja1!$H$2:$I$45,2,0),"")</f>
        <v>Si</v>
      </c>
      <c r="G20" s="128" t="str">
        <f t="shared" ref="G20:G62" si="0">+IF(F20="Si","Existe requerimiento pero se requiere actividades  dirigidas a su mantenimiento dentro del marco de las lineas de defensa.",IF(F20="En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H20" s="18"/>
      <c r="I20" s="142">
        <f t="shared" ref="I20:I62" si="1">+IF(F20="Si",1,IF(F20="En proceso",0.5,0))</f>
        <v>1</v>
      </c>
      <c r="J20" s="268"/>
    </row>
    <row r="21" spans="1:10" ht="45" x14ac:dyDescent="0.25">
      <c r="A21" s="1"/>
      <c r="B21" s="1"/>
      <c r="C21" s="140">
        <v>3</v>
      </c>
      <c r="D21" s="286"/>
      <c r="E21" s="126" t="str">
        <f>+IFERROR(INDEX(Hoja1!$E$2:$E$45,MATCH('Análisis Resultados'!C21,Hoja1!$H$2:$H$45,0)),"")</f>
        <v>Planes, programas y proyectos de acuerdo con las normas que rigen y atendiendo con su propósito fundamental institucional (misión)</v>
      </c>
      <c r="F21" s="127" t="str">
        <f>+IFERROR(VLOOKUP(C21,Hoja1!$H$2:$I$45,2,0),"")</f>
        <v>Si</v>
      </c>
      <c r="G21" s="128" t="str">
        <f t="shared" si="0"/>
        <v>Existe requerimiento pero se requiere actividades  dirigidas a su mantenimiento dentro del marco de las lineas de defensa.</v>
      </c>
      <c r="H21" s="18"/>
      <c r="I21" s="142">
        <f t="shared" si="1"/>
        <v>1</v>
      </c>
      <c r="J21" s="268"/>
    </row>
    <row r="22" spans="1:10" ht="56.25" customHeight="1" x14ac:dyDescent="0.25">
      <c r="A22" s="1"/>
      <c r="B22" s="1"/>
      <c r="C22" s="140">
        <v>4</v>
      </c>
      <c r="D22" s="286"/>
      <c r="E22" s="126" t="str">
        <f>+IFERROR(INDEX(Hoja1!$E$2:$E$45,MATCH('Análisis Resultados'!C22,Hoja1!$H$2:$H$45,0)),"")</f>
        <v>Una estructura organizacional formalizada (organigrama)</v>
      </c>
      <c r="F22" s="127" t="str">
        <f>+IFERROR(VLOOKUP(C22,Hoja1!$H$2:$I$45,2,0),"")</f>
        <v>Si</v>
      </c>
      <c r="G22" s="128" t="str">
        <f t="shared" si="0"/>
        <v>Existe requerimiento pero se requiere actividades  dirigidas a su mantenimiento dentro del marco de las lineas de defensa.</v>
      </c>
      <c r="H22" s="18"/>
      <c r="I22" s="142">
        <f t="shared" si="1"/>
        <v>1</v>
      </c>
      <c r="J22" s="268"/>
    </row>
    <row r="23" spans="1:10" ht="45" x14ac:dyDescent="0.25">
      <c r="A23" s="1"/>
      <c r="B23" s="1"/>
      <c r="C23" s="140">
        <v>5</v>
      </c>
      <c r="D23" s="286"/>
      <c r="E23" s="126" t="str">
        <f>+IFERROR(INDEX(Hoja1!$E$2:$E$45,MATCH('Análisis Resultados'!C23,Hoja1!$H$2:$H$45,0)),"")</f>
        <v>Un manual de funciones que describa los empleos de la entidad</v>
      </c>
      <c r="F23" s="127" t="str">
        <f>+IFERROR(VLOOKUP(C23,Hoja1!$H$2:$I$45,2,0),"")</f>
        <v>Si</v>
      </c>
      <c r="G23" s="128" t="str">
        <f t="shared" si="0"/>
        <v>Existe requerimiento pero se requiere actividades  dirigidas a su mantenimiento dentro del marco de las lineas de defensa.</v>
      </c>
      <c r="H23" s="18"/>
      <c r="I23" s="142">
        <f t="shared" si="1"/>
        <v>1</v>
      </c>
      <c r="J23" s="268"/>
    </row>
    <row r="24" spans="1:10" ht="45" x14ac:dyDescent="0.25">
      <c r="A24" s="1"/>
      <c r="B24" s="1"/>
      <c r="C24" s="140">
        <v>6</v>
      </c>
      <c r="D24" s="286"/>
      <c r="E24" s="126" t="str">
        <f>+IFERROR(INDEX(Hoja1!$E$2:$E$45,MATCH('Análisis Resultados'!C24,Hoja1!$H$2:$H$45,0)),"")</f>
        <v>La documentación de sus procesos y procedimientos o bien una lista de actividades principales que permitan conocer el estado de su gestión</v>
      </c>
      <c r="F24" s="127" t="str">
        <f>+IFERROR(VLOOKUP(C24,Hoja1!$H$2:$I$45,2,0),"")</f>
        <v>Si</v>
      </c>
      <c r="G24" s="128" t="str">
        <f t="shared" si="0"/>
        <v>Existe requerimiento pero se requiere actividades  dirigidas a su mantenimiento dentro del marco de las lineas de defensa.</v>
      </c>
      <c r="H24" s="18"/>
      <c r="I24" s="142">
        <f t="shared" si="1"/>
        <v>1</v>
      </c>
      <c r="J24" s="268"/>
    </row>
    <row r="25" spans="1:10" ht="45" x14ac:dyDescent="0.25">
      <c r="A25" s="1"/>
      <c r="B25" s="1"/>
      <c r="C25" s="140">
        <v>7</v>
      </c>
      <c r="D25" s="286"/>
      <c r="E25" s="126" t="str">
        <f>+IFERROR(INDEX(Hoja1!$E$2:$E$45,MATCH('Análisis Resultados'!C25,Hoja1!$H$2:$H$45,0)),"")</f>
        <v>Vinculación de los servidores públicos de acuerdo con el marco normativo que les rige (carrera administrativa, libre nombramiento y remoción, entre otros)</v>
      </c>
      <c r="F25" s="127" t="str">
        <f>+IFERROR(VLOOKUP(C25,Hoja1!$H$2:$I$45,2,0),"")</f>
        <v>Si</v>
      </c>
      <c r="G25" s="128" t="str">
        <f t="shared" si="0"/>
        <v>Existe requerimiento pero se requiere actividades  dirigidas a su mantenimiento dentro del marco de las lineas de defensa.</v>
      </c>
      <c r="H25" s="18"/>
      <c r="I25" s="142">
        <f t="shared" si="1"/>
        <v>1</v>
      </c>
      <c r="J25" s="268"/>
    </row>
    <row r="26" spans="1:10" ht="45" x14ac:dyDescent="0.25">
      <c r="A26" s="1"/>
      <c r="B26" s="1"/>
      <c r="C26" s="140">
        <v>8</v>
      </c>
      <c r="D26" s="286"/>
      <c r="E26" s="126" t="str">
        <f>+IFERROR(INDEX(Hoja1!$E$2:$E$45,MATCH('Análisis Resultados'!C26,Hoja1!$H$2:$H$45,0)),"")</f>
        <v>Procesos de inducción, capacitación y bienestar social para sus servidores públicos, de manera directa o en asociación con otras entidades municipales</v>
      </c>
      <c r="F26" s="127" t="str">
        <f>+IFERROR(VLOOKUP(C26,Hoja1!$H$2:$I$45,2,0),"")</f>
        <v>Si</v>
      </c>
      <c r="G26" s="128" t="str">
        <f t="shared" si="0"/>
        <v>Existe requerimiento pero se requiere actividades  dirigidas a su mantenimiento dentro del marco de las lineas de defensa.</v>
      </c>
      <c r="H26" s="18"/>
      <c r="I26" s="142">
        <f t="shared" si="1"/>
        <v>1</v>
      </c>
      <c r="J26" s="268"/>
    </row>
    <row r="27" spans="1:10" ht="45" x14ac:dyDescent="0.25">
      <c r="A27" s="1"/>
      <c r="B27" s="1"/>
      <c r="C27" s="140">
        <v>9</v>
      </c>
      <c r="D27" s="286"/>
      <c r="E27" s="126" t="str">
        <f>+IFERROR(INDEX(Hoja1!$E$2:$E$45,MATCH('Análisis Resultados'!C27,Hoja1!$H$2:$H$45,0)),"")</f>
        <v>Evaluación a los servidores públicos de acuerdo con el marco normativo que le rige</v>
      </c>
      <c r="F27" s="127" t="str">
        <f>+IFERROR(VLOOKUP(C27,Hoja1!$H$2:$I$45,2,0),"")</f>
        <v>Si</v>
      </c>
      <c r="G27" s="128" t="str">
        <f t="shared" si="0"/>
        <v>Existe requerimiento pero se requiere actividades  dirigidas a su mantenimiento dentro del marco de las lineas de defensa.</v>
      </c>
      <c r="H27" s="18"/>
      <c r="I27" s="142">
        <f t="shared" si="1"/>
        <v>1</v>
      </c>
      <c r="J27" s="268"/>
    </row>
    <row r="28" spans="1:10" ht="45" x14ac:dyDescent="0.25">
      <c r="A28" s="1"/>
      <c r="B28" s="1"/>
      <c r="C28" s="140">
        <v>10</v>
      </c>
      <c r="D28" s="286"/>
      <c r="E28" s="126" t="str">
        <f>+IFERROR(INDEX(Hoja1!$E$2:$E$45,MATCH('Análisis Resultados'!C28,Hoja1!$H$2:$H$45,0)),"")</f>
        <v>Procesos de desvinculación de servidores de acuerdo con lo previsto en la Constitución Política y las leyes</v>
      </c>
      <c r="F28" s="127" t="str">
        <f>+IFERROR(VLOOKUP(C28,Hoja1!$H$2:$I$45,2,0),"")</f>
        <v>Si</v>
      </c>
      <c r="G28" s="128" t="str">
        <f t="shared" si="0"/>
        <v>Existe requerimiento pero se requiere actividades  dirigidas a su mantenimiento dentro del marco de las lineas de defensa.</v>
      </c>
      <c r="H28" s="18"/>
      <c r="I28" s="142">
        <f t="shared" si="1"/>
        <v>1</v>
      </c>
      <c r="J28" s="268"/>
    </row>
    <row r="29" spans="1:10" ht="45" x14ac:dyDescent="0.25">
      <c r="A29" s="1"/>
      <c r="B29" s="1"/>
      <c r="C29" s="140">
        <v>11</v>
      </c>
      <c r="D29" s="286"/>
      <c r="E29" s="126" t="str">
        <f>+IFERROR(INDEX(Hoja1!$E$2:$E$45,MATCH('Análisis Resultados'!C29,Hoja1!$H$2:$H$45,0)),"")</f>
        <v>Mecanismos de rendición de cuentas a la ciudadanía</v>
      </c>
      <c r="F29" s="127" t="str">
        <f>+IFERROR(VLOOKUP(C29,Hoja1!$H$2:$I$45,2,0),"")</f>
        <v>Si</v>
      </c>
      <c r="G29" s="128" t="str">
        <f>+IF(F29="Si","Existe requerimiento pero se requiere actividades  dirigidas a su mantenimiento dentro del marco de las lineas de defensa.",IF(F29="En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H29" s="18"/>
      <c r="I29" s="142">
        <f t="shared" si="1"/>
        <v>1</v>
      </c>
      <c r="J29" s="268"/>
    </row>
    <row r="30" spans="1:10" ht="45.75" thickBot="1" x14ac:dyDescent="0.3">
      <c r="A30" s="1"/>
      <c r="B30" s="1"/>
      <c r="C30" s="140">
        <v>12</v>
      </c>
      <c r="D30" s="287"/>
      <c r="E30" s="129" t="str">
        <f>+IFERROR(INDEX(Hoja1!$E$2:$E$45,MATCH('Análisis Resultados'!C30,Hoja1!$H$2:$H$45,0)),"")</f>
        <v>Presentación oportuna de sus informes de gestión a las autoridades competentes</v>
      </c>
      <c r="F30" s="130" t="str">
        <f>+IFERROR(VLOOKUP(C30,Hoja1!$H$2:$I$45,2,0),"")</f>
        <v>Si</v>
      </c>
      <c r="G30" s="131" t="str">
        <f t="shared" si="0"/>
        <v>Existe requerimiento pero se requiere actividades  dirigidas a su mantenimiento dentro del marco de las lineas de defensa.</v>
      </c>
      <c r="H30" s="18"/>
      <c r="I30" s="143">
        <f t="shared" si="1"/>
        <v>1</v>
      </c>
      <c r="J30" s="269"/>
    </row>
    <row r="31" spans="1:10" ht="45" customHeight="1" x14ac:dyDescent="0.25">
      <c r="A31" s="1"/>
      <c r="B31" s="1"/>
      <c r="C31" s="140">
        <v>13</v>
      </c>
      <c r="D31" s="281" t="s">
        <v>61</v>
      </c>
      <c r="E31" s="123" t="str">
        <f>+IFERROR(INDEX(Hoja1!$E$2:$E$45,MATCH('Análisis Resultados'!C31,Hoja1!$H$2:$H$45,0)),"")</f>
        <v>La identificación de cambios en su entorno que pueden generar consecuencias negativas en su gestión</v>
      </c>
      <c r="F31" s="124" t="str">
        <f>+IFERROR(VLOOKUP(C31,Hoja1!$H$2:$I$45,2,0),"")</f>
        <v>Si</v>
      </c>
      <c r="G31" s="125" t="str">
        <f t="shared" si="0"/>
        <v>Existe requerimiento pero se requiere actividades  dirigidas a su mantenimiento dentro del marco de las lineas de defensa.</v>
      </c>
      <c r="H31" s="18"/>
      <c r="I31" s="141">
        <f t="shared" si="1"/>
        <v>1</v>
      </c>
      <c r="J31" s="265">
        <f>+AVERAGE(I31:I40)</f>
        <v>1</v>
      </c>
    </row>
    <row r="32" spans="1:10" ht="57" customHeight="1" x14ac:dyDescent="0.25">
      <c r="A32" s="1"/>
      <c r="B32" s="1"/>
      <c r="C32" s="140">
        <v>14</v>
      </c>
      <c r="D32" s="282"/>
      <c r="E32" s="126" t="str">
        <f>+IFERROR(INDEX(Hoja1!$E$2:$E$45,MATCH('Análisis Resultados'!C32,Hoja1!$H$2:$H$45,0)),"")</f>
        <v>La identificación de aquellos problemas o aspectos que pueden afectar el cumplimiento de los planes de la entidad y en general su gestión institucional (riesgos)</v>
      </c>
      <c r="F32" s="127" t="str">
        <f>+IFERROR(VLOOKUP(C32,Hoja1!$H$2:$I$45,2,0),"")</f>
        <v>Si</v>
      </c>
      <c r="G32" s="128" t="str">
        <f t="shared" si="0"/>
        <v>Existe requerimiento pero se requiere actividades  dirigidas a su mantenimiento dentro del marco de las lineas de defensa.</v>
      </c>
      <c r="H32" s="18"/>
      <c r="I32" s="142">
        <f t="shared" si="1"/>
        <v>1</v>
      </c>
      <c r="J32" s="266"/>
    </row>
    <row r="33" spans="1:10" ht="54" customHeight="1" x14ac:dyDescent="0.25">
      <c r="A33" s="1"/>
      <c r="B33" s="1"/>
      <c r="C33" s="140">
        <v>15</v>
      </c>
      <c r="D33" s="282"/>
      <c r="E33" s="126" t="str">
        <f>+IFERROR(INDEX(Hoja1!$E$2:$E$45,MATCH('Análisis Resultados'!C33,Hoja1!$H$2:$H$45,0)),"")</f>
        <v>La identificación  de los riesgos relacionados con posibles actos de corrupción en el ejercicio de sus funciones</v>
      </c>
      <c r="F33" s="127" t="str">
        <f>+IFERROR(VLOOKUP(C33,Hoja1!$H$2:$I$45,2,0),"")</f>
        <v>Si</v>
      </c>
      <c r="G33" s="128" t="str">
        <f t="shared" si="0"/>
        <v>Existe requerimiento pero se requiere actividades  dirigidas a su mantenimiento dentro del marco de las lineas de defensa.</v>
      </c>
      <c r="H33" s="18"/>
      <c r="I33" s="142">
        <f t="shared" si="1"/>
        <v>1</v>
      </c>
      <c r="J33" s="266"/>
    </row>
    <row r="34" spans="1:10" ht="45" x14ac:dyDescent="0.25">
      <c r="A34" s="1"/>
      <c r="B34" s="1"/>
      <c r="C34" s="140">
        <v>16</v>
      </c>
      <c r="D34" s="282"/>
      <c r="E34" s="126" t="str">
        <f>+IFERROR(INDEX(Hoja1!$E$2:$E$45,MATCH('Análisis Resultados'!C34,Hoja1!$H$2:$H$45,0)),"")</f>
        <v>Si su capacidad e infraestructura lo permite, identificación de riesgos asociados a las tecnologías de la información y las comunicaciones</v>
      </c>
      <c r="F34" s="127" t="str">
        <f>+IFERROR(VLOOKUP(C34,Hoja1!$H$2:$I$45,2,0),"")</f>
        <v>Si</v>
      </c>
      <c r="G34" s="128" t="str">
        <f t="shared" si="0"/>
        <v>Existe requerimiento pero se requiere actividades  dirigidas a su mantenimiento dentro del marco de las lineas de defensa.</v>
      </c>
      <c r="H34" s="18"/>
      <c r="I34" s="142">
        <f t="shared" si="1"/>
        <v>1</v>
      </c>
      <c r="J34" s="266"/>
    </row>
    <row r="35" spans="1:10" ht="67.5" customHeight="1" x14ac:dyDescent="0.25">
      <c r="A35" s="1"/>
      <c r="B35" s="1"/>
      <c r="C35" s="140">
        <v>17</v>
      </c>
      <c r="D35" s="282"/>
      <c r="E35" s="126" t="str">
        <f>+IFERROR(INDEX(Hoja1!$E$2:$E$45,MATCH('Análisis Resultados'!C35,Hoja1!$H$2:$H$45,0)),"")</f>
        <v>Hacen seguimiento a los problemas (riesgos)  que pueden afectar el cumplimiento de sus procesos, programas o proyectos a cargo</v>
      </c>
      <c r="F35" s="127" t="str">
        <f>+IFERROR(VLOOKUP(C35,Hoja1!$H$2:$I$45,2,0),"")</f>
        <v>Si</v>
      </c>
      <c r="G35" s="128" t="str">
        <f t="shared" si="0"/>
        <v>Existe requerimiento pero se requiere actividades  dirigidas a su mantenimiento dentro del marco de las lineas de defensa.</v>
      </c>
      <c r="H35" s="18"/>
      <c r="I35" s="142">
        <f t="shared" si="1"/>
        <v>1</v>
      </c>
      <c r="J35" s="266"/>
    </row>
    <row r="36" spans="1:10" ht="45" x14ac:dyDescent="0.25">
      <c r="A36" s="1"/>
      <c r="B36" s="1"/>
      <c r="C36" s="140">
        <v>18</v>
      </c>
      <c r="D36" s="282"/>
      <c r="E36" s="126" t="str">
        <f>+IFERROR(INDEX(Hoja1!$E$2:$E$45,MATCH('Análisis Resultados'!C36,Hoja1!$H$2:$H$45,0)),"")</f>
        <v>Informan de manera periódica a quien corresponda sobre el desempeño de las actividades de gestión de riesgos</v>
      </c>
      <c r="F36" s="127" t="str">
        <f>+IFERROR(VLOOKUP(C36,Hoja1!$H$2:$I$45,2,0),"")</f>
        <v>Si</v>
      </c>
      <c r="G36" s="128" t="str">
        <f t="shared" si="0"/>
        <v>Existe requerimiento pero se requiere actividades  dirigidas a su mantenimiento dentro del marco de las lineas de defensa.</v>
      </c>
      <c r="H36" s="18"/>
      <c r="I36" s="142">
        <f t="shared" si="1"/>
        <v>1</v>
      </c>
      <c r="J36" s="266"/>
    </row>
    <row r="37" spans="1:10" ht="57" customHeight="1" x14ac:dyDescent="0.25">
      <c r="A37" s="1"/>
      <c r="B37" s="1"/>
      <c r="C37" s="140">
        <v>19</v>
      </c>
      <c r="D37" s="282"/>
      <c r="E37" s="126" t="str">
        <f>+IFERROR(INDEX(Hoja1!$E$2:$E$45,MATCH('Análisis Resultados'!C37,Hoja1!$H$2:$H$45,0)),"")</f>
        <v>Identifican deficiencias en las maneras de  controlar los riesgos o problemas en sus procesos, programas o proyectos, y propone los ajustes necesarios</v>
      </c>
      <c r="F37" s="127" t="str">
        <f>+IFERROR(VLOOKUP(C37,Hoja1!$H$2:$I$45,2,0),"")</f>
        <v>Si</v>
      </c>
      <c r="G37" s="128" t="str">
        <f t="shared" si="0"/>
        <v>Existe requerimiento pero se requiere actividades  dirigidas a su mantenimiento dentro del marco de las lineas de defensa.</v>
      </c>
      <c r="H37" s="18"/>
      <c r="I37" s="142">
        <f t="shared" si="1"/>
        <v>1</v>
      </c>
      <c r="J37" s="266"/>
    </row>
    <row r="38" spans="1:10" ht="45" x14ac:dyDescent="0.25">
      <c r="A38" s="1"/>
      <c r="B38" s="1"/>
      <c r="C38" s="140">
        <v>20</v>
      </c>
      <c r="D38" s="282"/>
      <c r="E38" s="126" t="str">
        <f>+IFERROR(INDEX(Hoja1!$E$2:$E$45,MATCH('Análisis Resultados'!C38,Hoja1!$H$2:$H$45,0)),"")</f>
        <v>Se definen espacios de reunión para conocerlos y proponer acciones para su solución</v>
      </c>
      <c r="F38" s="127" t="str">
        <f>+IFERROR(VLOOKUP(C38,Hoja1!$H$2:$I$45,2,0),"")</f>
        <v>Si</v>
      </c>
      <c r="G38" s="128" t="str">
        <f t="shared" si="0"/>
        <v>Existe requerimiento pero se requiere actividades  dirigidas a su mantenimiento dentro del marco de las lineas de defensa.</v>
      </c>
      <c r="H38" s="18"/>
      <c r="I38" s="142">
        <f t="shared" si="1"/>
        <v>1</v>
      </c>
      <c r="J38" s="266"/>
    </row>
    <row r="39" spans="1:10" ht="45" x14ac:dyDescent="0.25">
      <c r="A39" s="1"/>
      <c r="B39" s="1"/>
      <c r="C39" s="140">
        <v>21</v>
      </c>
      <c r="D39" s="282"/>
      <c r="E39" s="126" t="str">
        <f>+IFERROR(INDEX(Hoja1!$E$2:$E$45,MATCH('Análisis Resultados'!C39,Hoja1!$H$2:$H$45,0)),"")</f>
        <v>Cada líder del equipo autónomamente toma las acciones para solucionarlos.</v>
      </c>
      <c r="F39" s="127" t="str">
        <f>+IFERROR(VLOOKUP(C39,Hoja1!$H$2:$I$45,2,0),"")</f>
        <v>Si</v>
      </c>
      <c r="G39" s="128" t="str">
        <f t="shared" si="0"/>
        <v>Existe requerimiento pero se requiere actividades  dirigidas a su mantenimiento dentro del marco de las lineas de defensa.</v>
      </c>
      <c r="H39" s="18"/>
      <c r="I39" s="142">
        <f t="shared" si="1"/>
        <v>1</v>
      </c>
      <c r="J39" s="266"/>
    </row>
    <row r="40" spans="1:10" ht="45.75" thickBot="1" x14ac:dyDescent="0.3">
      <c r="A40" s="1"/>
      <c r="B40" s="1"/>
      <c r="C40" s="140">
        <v>22</v>
      </c>
      <c r="D40" s="282"/>
      <c r="E40" s="132" t="str">
        <f>+IFERROR(INDEX(Hoja1!$E$2:$E$45,MATCH('Análisis Resultados'!C40,Hoja1!$H$2:$H$45,0)),"")</f>
        <v>Solamente hasta que un organismo de control actúa se definen acciones de mejora.</v>
      </c>
      <c r="F40" s="133" t="str">
        <f>+IFERROR(VLOOKUP(C40,Hoja1!$H$2:$I$45,2,0),"")</f>
        <v>Si</v>
      </c>
      <c r="G40" s="134" t="str">
        <f t="shared" si="0"/>
        <v>Existe requerimiento pero se requiere actividades  dirigidas a su mantenimiento dentro del marco de las lineas de defensa.</v>
      </c>
      <c r="H40" s="18"/>
      <c r="I40" s="144">
        <f t="shared" si="1"/>
        <v>1</v>
      </c>
      <c r="J40" s="266"/>
    </row>
    <row r="41" spans="1:10" ht="87.75" customHeight="1" x14ac:dyDescent="0.25">
      <c r="A41" s="1"/>
      <c r="B41" s="1"/>
      <c r="C41" s="140">
        <v>23</v>
      </c>
      <c r="D41" s="277" t="s">
        <v>78</v>
      </c>
      <c r="E41" s="123" t="str">
        <f>+IFERROR(INDEX(Hoja1!$E$2:$E$45,MATCH('Análisis Resultados'!C41,Hoja1!$H$2:$H$45,0)),"")</f>
        <v>La definición de acciones o actividades para para dar tratamiento a los problemas identificados (mitigación de riesgos), incluyendo aquellos asociados a posibles actos de corrupción</v>
      </c>
      <c r="F41" s="124" t="str">
        <f>+IFERROR(VLOOKUP(C41,Hoja1!$H$2:$I$45,2,0),"")</f>
        <v>Si</v>
      </c>
      <c r="G41" s="125" t="str">
        <f t="shared" si="0"/>
        <v>Existe requerimiento pero se requiere actividades  dirigidas a su mantenimiento dentro del marco de las lineas de defensa.</v>
      </c>
      <c r="H41" s="18"/>
      <c r="I41" s="141">
        <f t="shared" si="1"/>
        <v>1</v>
      </c>
      <c r="J41" s="265">
        <f>+AVERAGE(I41:I45)</f>
        <v>1</v>
      </c>
    </row>
    <row r="42" spans="1:10" ht="57" x14ac:dyDescent="0.25">
      <c r="A42" s="1"/>
      <c r="B42" s="1"/>
      <c r="C42" s="140">
        <v>24</v>
      </c>
      <c r="D42" s="278"/>
      <c r="E42" s="126" t="str">
        <f>+IFERROR(INDEX(Hoja1!$E$2:$E$45,MATCH('Análisis Resultados'!C42,Hoja1!$H$2:$H$45,0)),"")</f>
        <v>Mecanismos de verificación de si se están o no mitigando los riesgos, o en su defecto, elaboración de planes de contingencia para subsanar sus consecuencias</v>
      </c>
      <c r="F42" s="127" t="str">
        <f>+IFERROR(VLOOKUP(C42,Hoja1!$H$2:$I$45,2,0),"")</f>
        <v>Si</v>
      </c>
      <c r="G42" s="128" t="str">
        <f t="shared" si="0"/>
        <v>Existe requerimiento pero se requiere actividades  dirigidas a su mantenimiento dentro del marco de las lineas de defensa.</v>
      </c>
      <c r="H42" s="18"/>
      <c r="I42" s="142">
        <f t="shared" si="1"/>
        <v>1</v>
      </c>
      <c r="J42" s="266"/>
    </row>
    <row r="43" spans="1:10" ht="85.5" customHeight="1" x14ac:dyDescent="0.25">
      <c r="A43" s="1"/>
      <c r="B43" s="1"/>
      <c r="C43" s="140">
        <v>25</v>
      </c>
      <c r="D43" s="278"/>
      <c r="E43" s="126" t="str">
        <f>+IFERROR(INDEX(Hoja1!$E$2:$E$45,MATCH('Análisis Resultados'!C43,Hoja1!$H$2:$H$45,0)),"")</f>
        <v>Planes, acciones o estrategias que permitan subsanar las consecuencias de la materialización de los riesgos, cuando se presentan</v>
      </c>
      <c r="F43" s="127" t="str">
        <f>+IFERROR(VLOOKUP(C43,Hoja1!$H$2:$I$45,2,0),"")</f>
        <v>Si</v>
      </c>
      <c r="G43" s="128" t="str">
        <f t="shared" si="0"/>
        <v>Existe requerimiento pero se requiere actividades  dirigidas a su mantenimiento dentro del marco de las lineas de defensa.</v>
      </c>
      <c r="H43" s="18"/>
      <c r="I43" s="142">
        <f t="shared" si="1"/>
        <v>1</v>
      </c>
      <c r="J43" s="266"/>
    </row>
    <row r="44" spans="1:10" ht="57" customHeight="1" x14ac:dyDescent="0.25">
      <c r="A44" s="1"/>
      <c r="B44" s="1"/>
      <c r="C44" s="140">
        <v>26</v>
      </c>
      <c r="D44" s="278"/>
      <c r="E44" s="126" t="str">
        <f>+IFERROR(INDEX(Hoja1!$E$2:$E$45,MATCH('Análisis Resultados'!C44,Hoja1!$H$2:$H$45,0)),"")</f>
        <v>Un documento que consolide  los riesgos  y el tratamiento que se les da, incluyendo aquellos que conllevan posibles actos de corrupción y si la capacidad e infraestructura lo permite, los asociados con las tecnologías de la información y las comunicaciones</v>
      </c>
      <c r="F44" s="127" t="str">
        <f>+IFERROR(VLOOKUP(C44,Hoja1!$H$2:$I$45,2,0),"")</f>
        <v>Si</v>
      </c>
      <c r="G44" s="128" t="str">
        <f t="shared" si="0"/>
        <v>Existe requerimiento pero se requiere actividades  dirigidas a su mantenimiento dentro del marco de las lineas de defensa.</v>
      </c>
      <c r="H44" s="18"/>
      <c r="I44" s="142">
        <f t="shared" si="1"/>
        <v>1</v>
      </c>
      <c r="J44" s="266"/>
    </row>
    <row r="45" spans="1:10" ht="57" customHeight="1" thickBot="1" x14ac:dyDescent="0.3">
      <c r="A45" s="1"/>
      <c r="B45" s="1"/>
      <c r="C45" s="140">
        <v>27</v>
      </c>
      <c r="D45" s="279"/>
      <c r="E45" s="129" t="str">
        <f>+IFERROR(INDEX(Hoja1!$E$2:$E$45,MATCH('Análisis Resultados'!C45,Hoja1!$H$2:$H$45,0)),"")</f>
        <v>Un plan anticorrupción y de servicio al ciudadano con los temas que le aplican, publicado en algún medio para conocimiento de la ciudadanía</v>
      </c>
      <c r="F45" s="130" t="str">
        <f>+IFERROR(VLOOKUP(C45,Hoja1!$H$2:$I$45,2,0),"")</f>
        <v>Si</v>
      </c>
      <c r="G45" s="131" t="str">
        <f t="shared" si="0"/>
        <v>Existe requerimiento pero se requiere actividades  dirigidas a su mantenimiento dentro del marco de las lineas de defensa.</v>
      </c>
      <c r="H45" s="18"/>
      <c r="I45" s="143">
        <f t="shared" si="1"/>
        <v>1</v>
      </c>
      <c r="J45" s="280"/>
    </row>
    <row r="46" spans="1:10" ht="63.75" customHeight="1" x14ac:dyDescent="0.25">
      <c r="A46" s="1"/>
      <c r="B46" s="1"/>
      <c r="C46" s="140">
        <v>28</v>
      </c>
      <c r="D46" s="276" t="s">
        <v>86</v>
      </c>
      <c r="E46" s="135" t="str">
        <f>+IFERROR(INDEX(Hoja1!$E$2:$E$45,MATCH('Análisis Resultados'!C46,Hoja1!$H$2:$H$45,0)),"")</f>
        <v>Responsables de la información institucional</v>
      </c>
      <c r="F46" s="136" t="str">
        <f>+IFERROR(VLOOKUP(C46,Hoja1!$H$2:$I$45,2,0),"")</f>
        <v>Si</v>
      </c>
      <c r="G46" s="137" t="str">
        <f t="shared" si="0"/>
        <v>Existe requerimiento pero se requiere actividades  dirigidas a su mantenimiento dentro del marco de las lineas de defensa.</v>
      </c>
      <c r="H46" s="18"/>
      <c r="I46" s="145">
        <f t="shared" si="1"/>
        <v>1</v>
      </c>
      <c r="J46" s="266">
        <f>+AVERAGE(I46:I52)</f>
        <v>1</v>
      </c>
    </row>
    <row r="47" spans="1:10" ht="92.25" customHeight="1" x14ac:dyDescent="0.25">
      <c r="A47" s="1"/>
      <c r="B47" s="1"/>
      <c r="C47" s="140">
        <v>29</v>
      </c>
      <c r="D47" s="276"/>
      <c r="E47" s="126" t="str">
        <f>+IFERROR(INDEX(Hoja1!$E$2:$E$45,MATCH('Análisis Resultados'!C47,Hoja1!$H$2:$H$45,0)),"")</f>
        <v>Canales de comunicación con los ciudadanos</v>
      </c>
      <c r="F47" s="127" t="str">
        <f>+IFERROR(VLOOKUP(C47,Hoja1!$H$2:$I$45,2,0),"")</f>
        <v>Si</v>
      </c>
      <c r="G47" s="138" t="str">
        <f t="shared" si="0"/>
        <v>Existe requerimiento pero se requiere actividades  dirigidas a su mantenimiento dentro del marco de las lineas de defensa.</v>
      </c>
      <c r="H47" s="18"/>
      <c r="I47" s="146">
        <f t="shared" si="1"/>
        <v>1</v>
      </c>
      <c r="J47" s="266"/>
    </row>
    <row r="48" spans="1:10" ht="66.75" customHeight="1" x14ac:dyDescent="0.25">
      <c r="A48" s="1"/>
      <c r="B48" s="1"/>
      <c r="C48" s="140">
        <v>30</v>
      </c>
      <c r="D48" s="276"/>
      <c r="E48" s="126" t="str">
        <f>+IFERROR(INDEX(Hoja1!$E$2:$E$45,MATCH('Análisis Resultados'!C48,Hoja1!$H$2:$H$45,0)),"")</f>
        <v>Canales de comunicación o mecanismos de reporte de información a otros organismos gubernamentales o de control</v>
      </c>
      <c r="F48" s="127" t="str">
        <f>+IFERROR(VLOOKUP(C48,Hoja1!$H$2:$I$45,2,0),"")</f>
        <v>Si</v>
      </c>
      <c r="G48" s="138" t="str">
        <f t="shared" si="0"/>
        <v>Existe requerimiento pero se requiere actividades  dirigidas a su mantenimiento dentro del marco de las lineas de defensa.</v>
      </c>
      <c r="H48" s="18"/>
      <c r="I48" s="146">
        <f t="shared" si="1"/>
        <v>1</v>
      </c>
      <c r="J48" s="266"/>
    </row>
    <row r="49" spans="1:10" ht="60" customHeight="1" x14ac:dyDescent="0.25">
      <c r="A49" s="1"/>
      <c r="B49" s="1"/>
      <c r="C49" s="140">
        <v>31</v>
      </c>
      <c r="D49" s="276"/>
      <c r="E49" s="126" t="str">
        <f>+IFERROR(INDEX(Hoja1!$E$2:$E$45,MATCH('Análisis Resultados'!C49,Hoja1!$H$2:$H$45,0)),"")</f>
        <v xml:space="preserve">Lineamientos para dar tratamiento a la información de carácter reservado </v>
      </c>
      <c r="F49" s="127" t="str">
        <f>+IFERROR(VLOOKUP(C49,Hoja1!$H$2:$I$45,2,0),"")</f>
        <v>Si</v>
      </c>
      <c r="G49" s="138" t="str">
        <f t="shared" si="0"/>
        <v>Existe requerimiento pero se requiere actividades  dirigidas a su mantenimiento dentro del marco de las lineas de defensa.</v>
      </c>
      <c r="H49" s="18"/>
      <c r="I49" s="146">
        <f t="shared" si="1"/>
        <v>1</v>
      </c>
      <c r="J49" s="266"/>
    </row>
    <row r="50" spans="1:10" ht="57" customHeight="1" x14ac:dyDescent="0.25">
      <c r="A50" s="1"/>
      <c r="B50" s="1"/>
      <c r="C50" s="140">
        <v>32</v>
      </c>
      <c r="D50" s="276"/>
      <c r="E50" s="126" t="str">
        <f>+IFERROR(INDEX(Hoja1!$E$2:$E$45,MATCH('Análisis Resultados'!C50,Hoja1!$H$2:$H$45,0)),"")</f>
        <v>Identificación de información que produce en el marco de su gestión (Para los ciudadanos, organismos de control, organismos gubernamentales, entre otros)</v>
      </c>
      <c r="F50" s="127" t="str">
        <f>+IFERROR(VLOOKUP(C50,Hoja1!$H$2:$I$45,2,0),"")</f>
        <v>Si</v>
      </c>
      <c r="G50" s="138" t="str">
        <f t="shared" si="0"/>
        <v>Existe requerimiento pero se requiere actividades  dirigidas a su mantenimiento dentro del marco de las lineas de defensa.</v>
      </c>
      <c r="H50" s="18"/>
      <c r="I50" s="146">
        <f t="shared" si="1"/>
        <v>1</v>
      </c>
      <c r="J50" s="266"/>
    </row>
    <row r="51" spans="1:10" ht="57" customHeight="1" x14ac:dyDescent="0.25">
      <c r="A51" s="1"/>
      <c r="B51" s="1"/>
      <c r="C51" s="140">
        <v>33</v>
      </c>
      <c r="D51" s="276"/>
      <c r="E51" s="126" t="str">
        <f>+IFERROR(INDEX(Hoja1!$E$2:$E$45,MATCH('Análisis Resultados'!C51,Hoja1!$H$2:$H$45,0)),"")</f>
        <v>Identificación de información necesaria para la operación de la entidad (normograma, presupuesto, talento humano, infraestructura física y tecnológica)</v>
      </c>
      <c r="F51" s="127" t="str">
        <f>+IFERROR(VLOOKUP(C51,Hoja1!$H$2:$I$45,2,0),"")</f>
        <v>Si</v>
      </c>
      <c r="G51" s="138" t="str">
        <f t="shared" si="0"/>
        <v>Existe requerimiento pero se requiere actividades  dirigidas a su mantenimiento dentro del marco de las lineas de defensa.</v>
      </c>
      <c r="H51" s="18"/>
      <c r="I51" s="146">
        <f t="shared" si="1"/>
        <v>1</v>
      </c>
      <c r="J51" s="266"/>
    </row>
    <row r="52" spans="1:10" ht="45.75" thickBot="1" x14ac:dyDescent="0.3">
      <c r="A52" s="1"/>
      <c r="B52" s="1"/>
      <c r="C52" s="140">
        <v>34</v>
      </c>
      <c r="D52" s="276"/>
      <c r="E52" s="132" t="str">
        <f>+IFERROR(INDEX(Hoja1!$E$2:$E$45,MATCH('Análisis Resultados'!C52,Hoja1!$H$2:$H$45,0)),"")</f>
        <v>Si su capacidad e infraestructura lo permite, tecnologías de la información y las comunicaciones que soporten estos procesos</v>
      </c>
      <c r="F52" s="133" t="str">
        <f>+IFERROR(VLOOKUP(C52,Hoja1!$H$2:$I$45,2,0),"")</f>
        <v>Si</v>
      </c>
      <c r="G52" s="139" t="str">
        <f t="shared" si="0"/>
        <v>Existe requerimiento pero se requiere actividades  dirigidas a su mantenimiento dentro del marco de las lineas de defensa.</v>
      </c>
      <c r="H52" s="18"/>
      <c r="I52" s="147">
        <f t="shared" si="1"/>
        <v>1</v>
      </c>
      <c r="J52" s="266"/>
    </row>
    <row r="53" spans="1:10" ht="41.25" customHeight="1" x14ac:dyDescent="0.25">
      <c r="A53" s="1"/>
      <c r="B53" s="1"/>
      <c r="C53" s="140">
        <v>35</v>
      </c>
      <c r="D53" s="270" t="s">
        <v>96</v>
      </c>
      <c r="E53" s="123" t="str">
        <f>+IFERROR(INDEX(Hoja1!$E$2:$E$45,MATCH('Análisis Resultados'!C53,Hoja1!$H$2:$H$45,0)),"")</f>
        <v>La entidad participa en el  Comité Municipal de Auditoría?</v>
      </c>
      <c r="F53" s="124" t="str">
        <f>+IFERROR(VLOOKUP(C53,Hoja1!$H$2:$I$45,2,0),"")</f>
        <v>No</v>
      </c>
      <c r="G53" s="125" t="str">
        <f t="shared" si="0"/>
        <v>No se encuentra el aspecto  por lo tanto la entidad debera generar acciones dirigidas a que se cumpla con el requerimiento.</v>
      </c>
      <c r="H53" s="18"/>
      <c r="I53" s="141">
        <f t="shared" si="1"/>
        <v>0</v>
      </c>
      <c r="J53" s="273">
        <f>+AVERAGE(I53:I62)</f>
        <v>0.9</v>
      </c>
    </row>
    <row r="54" spans="1:10" ht="58.5" customHeight="1" x14ac:dyDescent="0.25">
      <c r="A54" s="1"/>
      <c r="B54" s="1"/>
      <c r="C54" s="140">
        <v>36</v>
      </c>
      <c r="D54" s="271"/>
      <c r="E54" s="126" t="str">
        <f>+IFERROR(INDEX(Hoja1!$E$2:$E$45,MATCH('Análisis Resultados'!C54,Hoja1!$H$2:$H$45,0)),"")</f>
        <v>Mecanismos de evaluación de la gestión (cronogramas, indicadores, listas de chequeo u otros)</v>
      </c>
      <c r="F54" s="127" t="str">
        <f>+IFERROR(VLOOKUP(C54,Hoja1!$H$2:$I$45,2,0),"")</f>
        <v>Si</v>
      </c>
      <c r="G54" s="128" t="str">
        <f t="shared" si="0"/>
        <v>Existe requerimiento pero se requiere actividades  dirigidas a su mantenimiento dentro del marco de las lineas de defensa.</v>
      </c>
      <c r="H54" s="18"/>
      <c r="I54" s="142">
        <f t="shared" si="1"/>
        <v>1</v>
      </c>
      <c r="J54" s="274"/>
    </row>
    <row r="55" spans="1:10" s="1" customFormat="1" ht="84.75" customHeight="1" x14ac:dyDescent="0.25">
      <c r="C55" s="140">
        <v>37</v>
      </c>
      <c r="D55" s="271"/>
      <c r="E55" s="126" t="str">
        <f>+IFERROR(INDEX(Hoja1!$E$2:$E$45,MATCH('Análisis Resultados'!C55,Hoja1!$H$2:$H$45,0)),"")</f>
        <v>Algún mecanismo para monitorear o supervisar el sistema de control interno institucional, ya sea por parte del representante legal, o del área de control interno (si la entidad cuenta con ella), o bien a través del Comité departamental o municipal de Auditoría.</v>
      </c>
      <c r="F55" s="127" t="str">
        <f>+IFERROR(VLOOKUP(C55,Hoja1!$H$2:$I$45,2,0),"")</f>
        <v>Si</v>
      </c>
      <c r="G55" s="128" t="str">
        <f t="shared" si="0"/>
        <v>Existe requerimiento pero se requiere actividades  dirigidas a su mantenimiento dentro del marco de las lineas de defensa.</v>
      </c>
      <c r="H55" s="6"/>
      <c r="I55" s="142">
        <f t="shared" si="1"/>
        <v>1</v>
      </c>
      <c r="J55" s="274"/>
    </row>
    <row r="56" spans="1:10" s="1" customFormat="1" ht="78.75" customHeight="1" x14ac:dyDescent="0.25">
      <c r="C56" s="140">
        <v>38</v>
      </c>
      <c r="D56" s="271"/>
      <c r="E56" s="126" t="str">
        <f>+IFERROR(INDEX(Hoja1!$E$2:$E$45,MATCH('Análisis Resultados'!C56,Hoja1!$H$2:$H$45,0)),"")</f>
        <v>Medidas correctivas en caso de detectarse deficiencias en los ejercicios de evaluación, seguimiento o auditoría</v>
      </c>
      <c r="F56" s="127" t="str">
        <f>+IFERROR(VLOOKUP(C56,Hoja1!$H$2:$I$45,2,0),"")</f>
        <v>Si</v>
      </c>
      <c r="G56" s="128" t="str">
        <f t="shared" si="0"/>
        <v>Existe requerimiento pero se requiere actividades  dirigidas a su mantenimiento dentro del marco de las lineas de defensa.</v>
      </c>
      <c r="H56" s="6"/>
      <c r="I56" s="142">
        <f t="shared" si="1"/>
        <v>1</v>
      </c>
      <c r="J56" s="274"/>
    </row>
    <row r="57" spans="1:10" s="1" customFormat="1" ht="54.75" customHeight="1" x14ac:dyDescent="0.25">
      <c r="C57" s="140">
        <v>39</v>
      </c>
      <c r="D57" s="271"/>
      <c r="E57" s="126" t="str">
        <f>+IFERROR(INDEX(Hoja1!$E$2:$E$45,MATCH('Análisis Resultados'!C57,Hoja1!$H$2:$H$45,0)),"")</f>
        <v>Seguimiento a los planes de mejoramiento suscritos con instancias de control internas o externas</v>
      </c>
      <c r="F57" s="127" t="str">
        <f>+IFERROR(VLOOKUP(C57,Hoja1!$H$2:$I$45,2,0),"")</f>
        <v>Si</v>
      </c>
      <c r="G57" s="128" t="str">
        <f t="shared" si="0"/>
        <v>Existe requerimiento pero se requiere actividades  dirigidas a su mantenimiento dentro del marco de las lineas de defensa.</v>
      </c>
      <c r="H57" s="6"/>
      <c r="I57" s="142">
        <f t="shared" si="1"/>
        <v>1</v>
      </c>
      <c r="J57" s="274"/>
    </row>
    <row r="58" spans="1:10" s="1" customFormat="1" ht="68.25" customHeight="1" x14ac:dyDescent="0.25">
      <c r="C58" s="140">
        <v>40</v>
      </c>
      <c r="D58" s="271"/>
      <c r="E58" s="126" t="str">
        <f>+IFERROR(INDEX(Hoja1!$E$2:$E$45,MATCH('Análisis Resultados'!C58,Hoja1!$H$2:$H$45,0)),"")</f>
        <v>Evitar que los problemas (riesgos) obstaculicen el cumplimiento de los objetivos.</v>
      </c>
      <c r="F58" s="127" t="str">
        <f>+IFERROR(VLOOKUP(C58,Hoja1!$H$2:$I$45,2,0),"")</f>
        <v>Si</v>
      </c>
      <c r="G58" s="128" t="str">
        <f t="shared" si="0"/>
        <v>Existe requerimiento pero se requiere actividades  dirigidas a su mantenimiento dentro del marco de las lineas de defensa.</v>
      </c>
      <c r="H58" s="6"/>
      <c r="I58" s="142">
        <f t="shared" si="1"/>
        <v>1</v>
      </c>
      <c r="J58" s="274"/>
    </row>
    <row r="59" spans="1:10" s="1" customFormat="1" ht="45" customHeight="1" x14ac:dyDescent="0.25">
      <c r="C59" s="140">
        <v>41</v>
      </c>
      <c r="D59" s="271"/>
      <c r="E59" s="126" t="str">
        <f>+IFERROR(INDEX(Hoja1!$E$2:$E$45,MATCH('Análisis Resultados'!C59,Hoja1!$H$2:$H$45,0)),"")</f>
        <v>Controlar los puntos críticos en los procesos.</v>
      </c>
      <c r="F59" s="127" t="str">
        <f>+IFERROR(VLOOKUP(C59,Hoja1!$H$2:$I$45,2,0),"")</f>
        <v>Si</v>
      </c>
      <c r="G59" s="128" t="str">
        <f t="shared" si="0"/>
        <v>Existe requerimiento pero se requiere actividades  dirigidas a su mantenimiento dentro del marco de las lineas de defensa.</v>
      </c>
      <c r="H59" s="6"/>
      <c r="I59" s="142">
        <f t="shared" si="1"/>
        <v>1</v>
      </c>
      <c r="J59" s="274"/>
    </row>
    <row r="60" spans="1:10" s="1" customFormat="1" ht="51.75" customHeight="1" x14ac:dyDescent="0.25">
      <c r="C60" s="140">
        <v>42</v>
      </c>
      <c r="D60" s="271"/>
      <c r="E60" s="126" t="str">
        <f>+IFERROR(INDEX(Hoja1!$E$2:$E$45,MATCH('Análisis Resultados'!C60,Hoja1!$H$2:$H$45,0)),"")</f>
        <v>Diseñar acciones adecuadas para controlar los problemas que afectan el cumplimiento de las metas y objetivos institucionales (riesgos).</v>
      </c>
      <c r="F60" s="127" t="str">
        <f>+IFERROR(VLOOKUP(C60,Hoja1!$H$2:$I$45,2,0),"")</f>
        <v>Si</v>
      </c>
      <c r="G60" s="128" t="str">
        <f t="shared" si="0"/>
        <v>Existe requerimiento pero se requiere actividades  dirigidas a su mantenimiento dentro del marco de las lineas de defensa.</v>
      </c>
      <c r="H60" s="6"/>
      <c r="I60" s="142">
        <f t="shared" si="1"/>
        <v>1</v>
      </c>
      <c r="J60" s="274"/>
    </row>
    <row r="61" spans="1:10" s="1" customFormat="1" ht="84" customHeight="1" x14ac:dyDescent="0.25">
      <c r="C61" s="140">
        <v>43</v>
      </c>
      <c r="D61" s="271"/>
      <c r="E61" s="126" t="str">
        <f>+IFERROR(INDEX(Hoja1!$E$2:$E$45,MATCH('Análisis Resultados'!C61,Hoja1!$H$2:$H$45,0)),"")</f>
        <v>Ejecutar las acciones de acuerdo a como se diseñaron previamente.</v>
      </c>
      <c r="F61" s="127" t="str">
        <f>+IFERROR(VLOOKUP(C61,Hoja1!$H$2:$I$45,2,0),"")</f>
        <v>Si</v>
      </c>
      <c r="G61" s="128" t="str">
        <f t="shared" si="0"/>
        <v>Existe requerimiento pero se requiere actividades  dirigidas a su mantenimiento dentro del marco de las lineas de defensa.</v>
      </c>
      <c r="H61" s="6"/>
      <c r="I61" s="142">
        <f t="shared" si="1"/>
        <v>1</v>
      </c>
      <c r="J61" s="274"/>
    </row>
    <row r="62" spans="1:10" s="1" customFormat="1" ht="60" customHeight="1" thickBot="1" x14ac:dyDescent="0.3">
      <c r="C62" s="140">
        <v>44</v>
      </c>
      <c r="D62" s="272"/>
      <c r="E62" s="129" t="str">
        <f>+IFERROR(INDEX(Hoja1!$E$2:$E$45,MATCH('Análisis Resultados'!C62,Hoja1!$H$2:$H$45,0)),"")</f>
        <v>No se gestionan los problemas que afectan el cumplimiento de las funciones y objetivos institucionales(riesgos).</v>
      </c>
      <c r="F62" s="130" t="str">
        <f>+IFERROR(VLOOKUP(C62,Hoja1!$H$2:$I$45,2,0),"")</f>
        <v>Si</v>
      </c>
      <c r="G62" s="131" t="str">
        <f t="shared" si="0"/>
        <v>Existe requerimiento pero se requiere actividades  dirigidas a su mantenimiento dentro del marco de las lineas de defensa.</v>
      </c>
      <c r="H62" s="6"/>
      <c r="I62" s="143">
        <f t="shared" si="1"/>
        <v>1</v>
      </c>
      <c r="J62" s="275"/>
    </row>
    <row r="63" spans="1:10" s="1" customFormat="1" x14ac:dyDescent="0.25">
      <c r="H63" s="6"/>
    </row>
    <row r="64" spans="1:10" s="1" customFormat="1" x14ac:dyDescent="0.25">
      <c r="H64" s="6"/>
    </row>
    <row r="65" spans="1:2" s="1" customFormat="1" x14ac:dyDescent="0.25"/>
    <row r="66" spans="1:2" s="1" customFormat="1" x14ac:dyDescent="0.25"/>
    <row r="67" spans="1:2" s="1" customFormat="1" x14ac:dyDescent="0.25"/>
    <row r="68" spans="1:2" s="1" customFormat="1" x14ac:dyDescent="0.25"/>
    <row r="69" spans="1:2" s="1" customFormat="1" x14ac:dyDescent="0.25"/>
    <row r="70" spans="1:2" s="1" customFormat="1" x14ac:dyDescent="0.25"/>
    <row r="71" spans="1:2" x14ac:dyDescent="0.25">
      <c r="A71" s="1"/>
      <c r="B71" s="1"/>
    </row>
    <row r="72" spans="1:2" x14ac:dyDescent="0.25">
      <c r="A72" s="1"/>
      <c r="B72" s="1"/>
    </row>
    <row r="73" spans="1:2" x14ac:dyDescent="0.25">
      <c r="A73" s="1"/>
      <c r="B73" s="1"/>
    </row>
    <row r="74" spans="1:2" x14ac:dyDescent="0.25">
      <c r="A74" s="1"/>
      <c r="B74" s="1"/>
    </row>
  </sheetData>
  <sheetProtection algorithmName="SHA-512" hashValue="2c/K7BVeA+JOjsvnu2HILGfEHHcx80UTyQTucJ5c70tus45UaD3gXdqjB7xLC6LydtmfT9VN5B07LstuhHP+UQ==" saltValue="5+Ylqwr6SZ9tvbSyY2m3gQ==" spinCount="100000" sheet="1" objects="1" scenarios="1" formatCells="0"/>
  <mergeCells count="25">
    <mergeCell ref="C7:K7"/>
    <mergeCell ref="C9:D9"/>
    <mergeCell ref="E9:F9"/>
    <mergeCell ref="C10:D10"/>
    <mergeCell ref="E10:F10"/>
    <mergeCell ref="C11:D11"/>
    <mergeCell ref="E11:F11"/>
    <mergeCell ref="J17:J18"/>
    <mergeCell ref="D19:D30"/>
    <mergeCell ref="C17:C18"/>
    <mergeCell ref="D17:E17"/>
    <mergeCell ref="F17:F18"/>
    <mergeCell ref="G17:G18"/>
    <mergeCell ref="I17:I18"/>
    <mergeCell ref="J31:J40"/>
    <mergeCell ref="C12:D12"/>
    <mergeCell ref="E12:F12"/>
    <mergeCell ref="J19:J30"/>
    <mergeCell ref="D53:D62"/>
    <mergeCell ref="J53:J62"/>
    <mergeCell ref="D46:D52"/>
    <mergeCell ref="J46:J52"/>
    <mergeCell ref="D41:D45"/>
    <mergeCell ref="J41:J45"/>
    <mergeCell ref="D31:D40"/>
  </mergeCells>
  <conditionalFormatting sqref="I19:I62">
    <cfRule type="cellIs" dxfId="19" priority="4" operator="between">
      <formula>0.75</formula>
      <formula>1</formula>
    </cfRule>
    <cfRule type="cellIs" dxfId="18" priority="5" operator="between">
      <formula>0.5</formula>
      <formula>0.74</formula>
    </cfRule>
    <cfRule type="cellIs" dxfId="17" priority="6" operator="between">
      <formula>0</formula>
      <formula>0.49</formula>
    </cfRule>
  </conditionalFormatting>
  <conditionalFormatting sqref="J53 J19:J31 J46 J41">
    <cfRule type="cellIs" priority="1" operator="between">
      <formula>0.75</formula>
      <formula>1</formula>
    </cfRule>
    <cfRule type="cellIs" dxfId="16" priority="2" operator="between">
      <formula>0.5</formula>
      <formula>0.75</formula>
    </cfRule>
    <cfRule type="cellIs" dxfId="15" priority="3" operator="between">
      <formula>0</formula>
      <formula>0.49</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7" operator="containsText" id="{B5EC0094-D2B5-49BB-B6F9-E988382E1263}">
            <xm:f>NOT(ISERROR(SEARCH($E$12,G19)))</xm:f>
            <xm:f>$E$12</xm:f>
            <x14:dxf>
              <fill>
                <patternFill>
                  <bgColor rgb="FFFF0000"/>
                </patternFill>
              </fill>
            </x14:dxf>
          </x14:cfRule>
          <x14:cfRule type="containsText" priority="8" operator="containsText" id="{D802A135-824D-43A0-835B-FE63514274DE}">
            <xm:f>NOT(ISERROR(SEARCH($E$11,G19)))</xm:f>
            <xm:f>$E$11</xm:f>
            <x14:dxf>
              <fill>
                <patternFill>
                  <bgColor rgb="FFFFFF00"/>
                </patternFill>
              </fill>
            </x14:dxf>
          </x14:cfRule>
          <x14:cfRule type="containsText" priority="9" operator="containsText" id="{D7844022-1CB2-4683-9B09-8D3EA8F0FDED}">
            <xm:f>NOT(ISERROR(SEARCH($E$10,G19)))</xm:f>
            <xm:f>$E$10</xm:f>
            <x14:dxf>
              <fill>
                <patternFill>
                  <bgColor rgb="FF00B050"/>
                </patternFill>
              </fill>
            </x14:dxf>
          </x14:cfRule>
          <xm:sqref>G19:G62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1"/>
  <sheetViews>
    <sheetView tabSelected="1" zoomScale="59" zoomScaleNormal="59" workbookViewId="0">
      <selection activeCell="C53" sqref="C53"/>
    </sheetView>
  </sheetViews>
  <sheetFormatPr baseColWidth="10" defaultColWidth="11.42578125" defaultRowHeight="15" x14ac:dyDescent="0.25"/>
  <cols>
    <col min="1" max="1" width="4.42578125" customWidth="1"/>
    <col min="3" max="3" width="35.5703125" customWidth="1"/>
    <col min="4" max="4" width="13" customWidth="1"/>
    <col min="5" max="5" width="43.28515625" customWidth="1"/>
    <col min="7" max="7" width="33.85546875" customWidth="1"/>
    <col min="9" max="9" width="92.28515625" customWidth="1"/>
    <col min="13" max="13" width="29" customWidth="1"/>
  </cols>
  <sheetData>
    <row r="1" spans="1:17" s="1" customFormat="1" ht="9" customHeight="1" thickBot="1" x14ac:dyDescent="0.3"/>
    <row r="2" spans="1:17" ht="1.5" hidden="1" customHeight="1" thickBot="1" x14ac:dyDescent="0.3">
      <c r="A2" s="1"/>
      <c r="B2" s="1"/>
      <c r="C2" s="1"/>
      <c r="D2" s="1"/>
      <c r="E2" s="1"/>
      <c r="F2" s="1"/>
      <c r="G2" s="1"/>
      <c r="H2" s="1"/>
      <c r="I2" s="1"/>
      <c r="J2" s="1"/>
      <c r="K2" s="1"/>
      <c r="L2" s="1"/>
      <c r="M2" s="1"/>
      <c r="N2" s="1"/>
      <c r="O2" s="1"/>
      <c r="P2" s="1"/>
      <c r="Q2" s="1"/>
    </row>
    <row r="3" spans="1:17" ht="9.75" customHeight="1" thickTop="1" x14ac:dyDescent="0.25">
      <c r="A3" s="1"/>
      <c r="B3" s="2"/>
      <c r="C3" s="3"/>
      <c r="D3" s="3"/>
      <c r="E3" s="3"/>
      <c r="F3" s="3"/>
      <c r="G3" s="3"/>
      <c r="H3" s="3"/>
      <c r="I3" s="3"/>
      <c r="J3" s="3"/>
      <c r="K3" s="3"/>
      <c r="L3" s="3"/>
      <c r="M3" s="3"/>
      <c r="N3" s="3"/>
      <c r="O3" s="3"/>
      <c r="P3" s="4"/>
      <c r="Q3" s="1"/>
    </row>
    <row r="4" spans="1:17" ht="16.5" x14ac:dyDescent="0.3">
      <c r="A4" s="1"/>
      <c r="B4" s="5"/>
      <c r="C4" s="6"/>
      <c r="D4" s="6"/>
      <c r="E4" s="303" t="s">
        <v>123</v>
      </c>
      <c r="F4" s="305" t="s">
        <v>207</v>
      </c>
      <c r="G4" s="305"/>
      <c r="H4" s="305"/>
      <c r="I4" s="305"/>
      <c r="J4" s="305"/>
      <c r="K4" s="305"/>
      <c r="L4" s="305"/>
      <c r="M4" s="305"/>
      <c r="N4" s="7"/>
      <c r="O4" s="7"/>
      <c r="P4" s="8"/>
      <c r="Q4" s="1"/>
    </row>
    <row r="5" spans="1:17" ht="34.5" customHeight="1" x14ac:dyDescent="0.3">
      <c r="A5" s="1"/>
      <c r="B5" s="5"/>
      <c r="C5" s="6"/>
      <c r="D5" s="6"/>
      <c r="E5" s="304"/>
      <c r="F5" s="305"/>
      <c r="G5" s="305"/>
      <c r="H5" s="305"/>
      <c r="I5" s="305"/>
      <c r="J5" s="305"/>
      <c r="K5" s="305"/>
      <c r="L5" s="305"/>
      <c r="M5" s="305"/>
      <c r="N5" s="7"/>
      <c r="O5" s="7"/>
      <c r="P5" s="8"/>
      <c r="Q5" s="1"/>
    </row>
    <row r="6" spans="1:17" ht="48" customHeight="1" x14ac:dyDescent="0.3">
      <c r="A6" s="1"/>
      <c r="B6" s="5"/>
      <c r="C6" s="6"/>
      <c r="D6" s="6"/>
      <c r="E6" s="96" t="s">
        <v>124</v>
      </c>
      <c r="F6" s="306" t="s">
        <v>236</v>
      </c>
      <c r="G6" s="307"/>
      <c r="H6" s="307"/>
      <c r="I6" s="307"/>
      <c r="J6" s="307"/>
      <c r="K6" s="307"/>
      <c r="L6" s="307"/>
      <c r="M6" s="308"/>
      <c r="N6" s="9"/>
      <c r="O6" s="9"/>
      <c r="P6" s="8"/>
      <c r="Q6" s="1"/>
    </row>
    <row r="7" spans="1:17" ht="8.25" customHeight="1" thickBot="1" x14ac:dyDescent="0.35">
      <c r="A7" s="1"/>
      <c r="B7" s="5"/>
      <c r="C7" s="6"/>
      <c r="D7" s="6"/>
      <c r="E7" s="10"/>
      <c r="F7" s="9"/>
      <c r="G7" s="9"/>
      <c r="H7" s="9"/>
      <c r="I7" s="9"/>
      <c r="J7" s="9"/>
      <c r="K7" s="9"/>
      <c r="L7" s="9"/>
      <c r="M7" s="6"/>
      <c r="N7" s="6"/>
      <c r="O7" s="6"/>
      <c r="P7" s="8"/>
      <c r="Q7" s="1"/>
    </row>
    <row r="8" spans="1:17" ht="97.5" customHeight="1" thickBot="1" x14ac:dyDescent="0.3">
      <c r="A8" s="1"/>
      <c r="B8" s="5"/>
      <c r="C8" s="6"/>
      <c r="D8" s="6"/>
      <c r="E8" s="6"/>
      <c r="F8" s="6"/>
      <c r="G8" s="6"/>
      <c r="H8" s="6"/>
      <c r="I8" s="309" t="s">
        <v>125</v>
      </c>
      <c r="J8" s="310"/>
      <c r="K8" s="311"/>
      <c r="L8" s="6"/>
      <c r="M8" s="148">
        <f>+AVERAGE(G26,G28,G30,G32,G34)</f>
        <v>0.98000000000000009</v>
      </c>
      <c r="N8" s="11"/>
      <c r="O8" s="11"/>
      <c r="P8" s="8"/>
      <c r="Q8" s="1"/>
    </row>
    <row r="9" spans="1:17" ht="15.75" x14ac:dyDescent="0.25">
      <c r="A9" s="1"/>
      <c r="B9" s="5"/>
      <c r="C9" s="6"/>
      <c r="D9" s="6"/>
      <c r="E9" s="6"/>
      <c r="F9" s="6"/>
      <c r="G9" s="6"/>
      <c r="H9" s="6"/>
      <c r="I9" s="6"/>
      <c r="J9" s="6"/>
      <c r="K9" s="6"/>
      <c r="L9" s="6"/>
      <c r="M9" s="12"/>
      <c r="N9" s="12"/>
      <c r="O9" s="12"/>
      <c r="P9" s="8"/>
      <c r="Q9" s="1"/>
    </row>
    <row r="10" spans="1:17" x14ac:dyDescent="0.25">
      <c r="A10" s="1"/>
      <c r="B10" s="5"/>
      <c r="C10" s="6"/>
      <c r="D10" s="6"/>
      <c r="E10" s="6"/>
      <c r="F10" s="6"/>
      <c r="G10" s="6"/>
      <c r="H10" s="6"/>
      <c r="I10" s="6"/>
      <c r="J10" s="6"/>
      <c r="K10" s="6"/>
      <c r="L10" s="6"/>
      <c r="M10" s="6"/>
      <c r="N10" s="6"/>
      <c r="O10" s="6"/>
      <c r="P10" s="8"/>
      <c r="Q10" s="1"/>
    </row>
    <row r="11" spans="1:17" x14ac:dyDescent="0.25">
      <c r="A11" s="1"/>
      <c r="B11" s="5"/>
      <c r="C11" s="6"/>
      <c r="D11" s="6"/>
      <c r="E11" s="6"/>
      <c r="F11" s="6"/>
      <c r="G11" s="6"/>
      <c r="H11" s="6"/>
      <c r="I11" s="6"/>
      <c r="J11" s="6"/>
      <c r="K11" s="6"/>
      <c r="L11" s="6"/>
      <c r="M11" s="6"/>
      <c r="N11" s="6"/>
      <c r="O11" s="6"/>
      <c r="P11" s="8"/>
      <c r="Q11" s="1"/>
    </row>
    <row r="12" spans="1:17" x14ac:dyDescent="0.25">
      <c r="A12" s="1"/>
      <c r="B12" s="5"/>
      <c r="C12" s="6"/>
      <c r="D12" s="6"/>
      <c r="E12" s="6"/>
      <c r="F12" s="6"/>
      <c r="G12" s="6"/>
      <c r="H12" s="6"/>
      <c r="I12" s="6"/>
      <c r="J12" s="6"/>
      <c r="K12" s="6"/>
      <c r="L12" s="6"/>
      <c r="M12" s="6"/>
      <c r="N12" s="6"/>
      <c r="O12" s="6"/>
      <c r="P12" s="8"/>
      <c r="Q12" s="1"/>
    </row>
    <row r="13" spans="1:17" x14ac:dyDescent="0.25">
      <c r="A13" s="1"/>
      <c r="B13" s="5"/>
      <c r="C13" s="6"/>
      <c r="D13" s="6"/>
      <c r="E13" s="6"/>
      <c r="F13" s="6"/>
      <c r="G13" s="6"/>
      <c r="H13" s="6"/>
      <c r="I13" s="6"/>
      <c r="J13" s="6"/>
      <c r="K13" s="6"/>
      <c r="L13" s="6"/>
      <c r="M13" s="6"/>
      <c r="N13" s="6"/>
      <c r="O13" s="6"/>
      <c r="P13" s="8"/>
      <c r="Q13" s="1"/>
    </row>
    <row r="14" spans="1:17" x14ac:dyDescent="0.25">
      <c r="A14" s="1"/>
      <c r="B14" s="5"/>
      <c r="C14" s="6"/>
      <c r="D14" s="6"/>
      <c r="E14" s="6"/>
      <c r="F14" s="6"/>
      <c r="G14" s="6"/>
      <c r="H14" s="6"/>
      <c r="I14" s="6"/>
      <c r="J14" s="6"/>
      <c r="K14" s="6"/>
      <c r="L14" s="6"/>
      <c r="M14" s="6"/>
      <c r="N14" s="6"/>
      <c r="O14" s="6"/>
      <c r="P14" s="8"/>
      <c r="Q14" s="1"/>
    </row>
    <row r="15" spans="1:17" ht="8.25" customHeight="1" x14ac:dyDescent="0.25">
      <c r="A15" s="1"/>
      <c r="B15" s="5"/>
      <c r="C15" s="6"/>
      <c r="D15" s="6"/>
      <c r="E15" s="6"/>
      <c r="F15" s="6"/>
      <c r="G15" s="6"/>
      <c r="H15" s="6"/>
      <c r="I15" s="6"/>
      <c r="J15" s="6"/>
      <c r="K15" s="6"/>
      <c r="L15" s="6"/>
      <c r="M15" s="6"/>
      <c r="N15" s="6"/>
      <c r="O15" s="6"/>
      <c r="P15" s="8"/>
      <c r="Q15" s="1"/>
    </row>
    <row r="16" spans="1:17" hidden="1" x14ac:dyDescent="0.25">
      <c r="A16" s="1"/>
      <c r="B16" s="5"/>
      <c r="C16" s="6"/>
      <c r="D16" s="6"/>
      <c r="E16" s="6"/>
      <c r="F16" s="6"/>
      <c r="G16" s="6"/>
      <c r="H16" s="6"/>
      <c r="I16" s="6"/>
      <c r="J16" s="6"/>
      <c r="K16" s="6"/>
      <c r="L16" s="6"/>
      <c r="M16" s="6"/>
      <c r="N16" s="6"/>
      <c r="O16" s="6"/>
      <c r="P16" s="8"/>
      <c r="Q16" s="1"/>
    </row>
    <row r="17" spans="1:17" hidden="1" x14ac:dyDescent="0.25">
      <c r="A17" s="1"/>
      <c r="B17" s="5"/>
      <c r="C17" s="6"/>
      <c r="D17" s="6"/>
      <c r="E17" s="6"/>
      <c r="F17" s="6"/>
      <c r="G17" s="6"/>
      <c r="H17" s="6"/>
      <c r="I17" s="6"/>
      <c r="J17" s="6"/>
      <c r="K17" s="6"/>
      <c r="L17" s="6"/>
      <c r="M17" s="6"/>
      <c r="N17" s="6"/>
      <c r="O17" s="6"/>
      <c r="P17" s="8"/>
      <c r="Q17" s="1"/>
    </row>
    <row r="18" spans="1:17" ht="23.25" x14ac:dyDescent="0.25">
      <c r="A18" s="1"/>
      <c r="B18" s="5"/>
      <c r="C18" s="312" t="s">
        <v>126</v>
      </c>
      <c r="D18" s="313"/>
      <c r="E18" s="313"/>
      <c r="F18" s="313"/>
      <c r="G18" s="313"/>
      <c r="H18" s="313"/>
      <c r="I18" s="313"/>
      <c r="J18" s="313"/>
      <c r="K18" s="313"/>
      <c r="L18" s="313"/>
      <c r="M18" s="314"/>
      <c r="N18" s="13"/>
      <c r="O18" s="13"/>
      <c r="P18" s="8"/>
      <c r="Q18" s="1"/>
    </row>
    <row r="19" spans="1:17" ht="16.5" thickBot="1" x14ac:dyDescent="0.3">
      <c r="A19" s="1"/>
      <c r="B19" s="5"/>
      <c r="C19" s="14"/>
      <c r="D19" s="14"/>
      <c r="E19" s="14"/>
      <c r="F19" s="14"/>
      <c r="G19" s="14"/>
      <c r="H19" s="14"/>
      <c r="I19" s="14"/>
      <c r="J19" s="14"/>
      <c r="K19" s="14"/>
      <c r="L19" s="14"/>
      <c r="M19" s="14"/>
      <c r="N19" s="15"/>
      <c r="O19" s="15"/>
      <c r="P19" s="8"/>
      <c r="Q19" s="1"/>
    </row>
    <row r="20" spans="1:17" ht="105" customHeight="1" x14ac:dyDescent="0.25">
      <c r="A20" s="1"/>
      <c r="B20" s="5"/>
      <c r="C20" s="315" t="s">
        <v>127</v>
      </c>
      <c r="D20" s="316"/>
      <c r="E20" s="151" t="s">
        <v>39</v>
      </c>
      <c r="F20" s="317" t="s">
        <v>234</v>
      </c>
      <c r="G20" s="318"/>
      <c r="H20" s="318"/>
      <c r="I20" s="318"/>
      <c r="J20" s="318"/>
      <c r="K20" s="318"/>
      <c r="L20" s="318"/>
      <c r="M20" s="319"/>
      <c r="N20" s="15"/>
      <c r="O20" s="15"/>
      <c r="P20" s="8"/>
      <c r="Q20" s="1"/>
    </row>
    <row r="21" spans="1:17" ht="108.75" customHeight="1" x14ac:dyDescent="0.25">
      <c r="A21" s="1"/>
      <c r="B21" s="5"/>
      <c r="C21" s="299" t="s">
        <v>128</v>
      </c>
      <c r="D21" s="300"/>
      <c r="E21" s="152" t="s">
        <v>39</v>
      </c>
      <c r="F21" s="320" t="s">
        <v>208</v>
      </c>
      <c r="G21" s="321"/>
      <c r="H21" s="321"/>
      <c r="I21" s="321"/>
      <c r="J21" s="321"/>
      <c r="K21" s="321"/>
      <c r="L21" s="321"/>
      <c r="M21" s="322"/>
      <c r="N21" s="15"/>
      <c r="O21" s="15"/>
      <c r="P21" s="8"/>
      <c r="Q21" s="1"/>
    </row>
    <row r="22" spans="1:17" ht="117" customHeight="1" thickBot="1" x14ac:dyDescent="0.3">
      <c r="A22" s="1"/>
      <c r="B22" s="5"/>
      <c r="C22" s="301" t="s">
        <v>129</v>
      </c>
      <c r="D22" s="302"/>
      <c r="E22" s="153" t="s">
        <v>39</v>
      </c>
      <c r="F22" s="323" t="s">
        <v>237</v>
      </c>
      <c r="G22" s="324"/>
      <c r="H22" s="324"/>
      <c r="I22" s="324"/>
      <c r="J22" s="324"/>
      <c r="K22" s="324"/>
      <c r="L22" s="324"/>
      <c r="M22" s="325"/>
      <c r="N22" s="15"/>
      <c r="O22" s="15"/>
      <c r="P22" s="8"/>
      <c r="Q22" s="1"/>
    </row>
    <row r="23" spans="1:17" x14ac:dyDescent="0.25">
      <c r="A23" s="1"/>
      <c r="B23" s="5"/>
      <c r="C23" s="6"/>
      <c r="D23" s="6"/>
      <c r="E23" s="6"/>
      <c r="F23" s="6"/>
      <c r="G23" s="16"/>
      <c r="H23" s="6"/>
      <c r="I23" s="6"/>
      <c r="J23" s="6"/>
      <c r="K23" s="6"/>
      <c r="L23" s="6"/>
      <c r="M23" s="6"/>
      <c r="N23" s="6"/>
      <c r="O23" s="6"/>
      <c r="P23" s="8"/>
      <c r="Q23" s="1"/>
    </row>
    <row r="24" spans="1:17" ht="78.75" x14ac:dyDescent="0.25">
      <c r="A24" s="1"/>
      <c r="B24" s="5"/>
      <c r="C24" s="99" t="s">
        <v>130</v>
      </c>
      <c r="D24" s="100"/>
      <c r="E24" s="99" t="s">
        <v>131</v>
      </c>
      <c r="F24" s="100"/>
      <c r="G24" s="99" t="s">
        <v>132</v>
      </c>
      <c r="H24" s="100"/>
      <c r="I24" s="334" t="s">
        <v>133</v>
      </c>
      <c r="J24" s="334"/>
      <c r="K24" s="334"/>
      <c r="L24" s="334"/>
      <c r="M24" s="334"/>
      <c r="N24" s="33"/>
      <c r="O24" s="33"/>
      <c r="P24" s="8"/>
      <c r="Q24" s="17"/>
    </row>
    <row r="25" spans="1:17" ht="13.5" customHeight="1" thickBot="1" x14ac:dyDescent="0.3">
      <c r="A25" s="1"/>
      <c r="B25" s="5"/>
      <c r="C25" s="32"/>
      <c r="D25" s="18"/>
      <c r="E25" s="18"/>
      <c r="F25" s="18"/>
      <c r="G25" s="18"/>
      <c r="H25" s="18"/>
      <c r="I25" s="338"/>
      <c r="J25" s="338"/>
      <c r="K25" s="338"/>
      <c r="L25" s="338"/>
      <c r="M25" s="338"/>
      <c r="N25" s="34"/>
      <c r="O25" s="34"/>
      <c r="P25" s="8"/>
      <c r="Q25" s="1"/>
    </row>
    <row r="26" spans="1:17" ht="155.25" customHeight="1" thickBot="1" x14ac:dyDescent="0.3">
      <c r="A26" s="1"/>
      <c r="B26" s="5"/>
      <c r="C26" s="90" t="s">
        <v>32</v>
      </c>
      <c r="D26" s="19"/>
      <c r="E26" s="149" t="str">
        <f>+IF(Hoja1!K2&gt;=0.5,"Si","No")</f>
        <v>Si</v>
      </c>
      <c r="F26" s="20"/>
      <c r="G26" s="150">
        <f>+Hoja1!K2</f>
        <v>1</v>
      </c>
      <c r="H26" s="20"/>
      <c r="I26" s="335" t="s">
        <v>209</v>
      </c>
      <c r="J26" s="336"/>
      <c r="K26" s="336"/>
      <c r="L26" s="336"/>
      <c r="M26" s="337"/>
      <c r="N26" s="35"/>
      <c r="O26" s="36"/>
      <c r="P26" s="21"/>
      <c r="Q26" s="22"/>
    </row>
    <row r="27" spans="1:17" ht="21.75" customHeight="1" thickBot="1" x14ac:dyDescent="0.45">
      <c r="A27" s="1"/>
      <c r="B27" s="5"/>
      <c r="C27" s="91"/>
      <c r="D27" s="23"/>
      <c r="E27" s="98"/>
      <c r="F27" s="18"/>
      <c r="G27" s="24"/>
      <c r="H27" s="18"/>
      <c r="I27" s="339"/>
      <c r="J27" s="339"/>
      <c r="K27" s="339"/>
      <c r="L27" s="339"/>
      <c r="M27" s="339"/>
      <c r="N27" s="37"/>
      <c r="O27" s="37"/>
      <c r="P27" s="8"/>
      <c r="Q27" s="1"/>
    </row>
    <row r="28" spans="1:17" ht="111.75" customHeight="1" thickBot="1" x14ac:dyDescent="0.3">
      <c r="A28" s="1"/>
      <c r="B28" s="5"/>
      <c r="C28" s="92" t="s">
        <v>134</v>
      </c>
      <c r="D28" s="19"/>
      <c r="E28" s="149" t="str">
        <f>+IF(Hoja1!K14&gt;=0.5,"Si","No")</f>
        <v>Si</v>
      </c>
      <c r="F28" s="18"/>
      <c r="G28" s="150">
        <f>+Hoja1!K14</f>
        <v>1</v>
      </c>
      <c r="H28" s="18"/>
      <c r="I28" s="326" t="s">
        <v>238</v>
      </c>
      <c r="J28" s="327"/>
      <c r="K28" s="327"/>
      <c r="L28" s="327"/>
      <c r="M28" s="328"/>
      <c r="N28" s="35"/>
      <c r="O28" s="35"/>
      <c r="P28" s="8"/>
      <c r="Q28" s="1"/>
    </row>
    <row r="29" spans="1:17" ht="18" customHeight="1" thickBot="1" x14ac:dyDescent="0.45">
      <c r="A29" s="1"/>
      <c r="B29" s="5"/>
      <c r="C29" s="91"/>
      <c r="D29" s="23"/>
      <c r="E29" s="98"/>
      <c r="F29" s="18"/>
      <c r="G29" s="24"/>
      <c r="H29" s="18"/>
      <c r="I29" s="339"/>
      <c r="J29" s="339"/>
      <c r="K29" s="339"/>
      <c r="L29" s="339"/>
      <c r="M29" s="339"/>
      <c r="N29" s="37"/>
      <c r="O29" s="37"/>
      <c r="P29" s="8"/>
      <c r="Q29" s="1"/>
    </row>
    <row r="30" spans="1:17" ht="69.75" customHeight="1" thickBot="1" x14ac:dyDescent="0.3">
      <c r="A30" s="1"/>
      <c r="B30" s="5"/>
      <c r="C30" s="93" t="s">
        <v>135</v>
      </c>
      <c r="D30" s="19"/>
      <c r="E30" s="149" t="str">
        <f>+IF(Hoja1!K24&gt;=0.5,"Si","No")</f>
        <v>Si</v>
      </c>
      <c r="F30" s="18"/>
      <c r="G30" s="150">
        <f>+Hoja1!K24</f>
        <v>1</v>
      </c>
      <c r="H30" s="18"/>
      <c r="I30" s="329" t="s">
        <v>239</v>
      </c>
      <c r="J30" s="330"/>
      <c r="K30" s="330"/>
      <c r="L30" s="330"/>
      <c r="M30" s="331"/>
      <c r="N30" s="35"/>
      <c r="O30" s="35"/>
      <c r="P30" s="8"/>
      <c r="Q30" s="1"/>
    </row>
    <row r="31" spans="1:17" ht="21.75" customHeight="1" thickBot="1" x14ac:dyDescent="0.45">
      <c r="A31" s="1"/>
      <c r="B31" s="5"/>
      <c r="C31" s="91"/>
      <c r="D31" s="23"/>
      <c r="E31" s="98"/>
      <c r="F31" s="18"/>
      <c r="G31" s="24"/>
      <c r="H31" s="18"/>
      <c r="I31" s="339"/>
      <c r="J31" s="339"/>
      <c r="K31" s="339"/>
      <c r="L31" s="339"/>
      <c r="M31" s="339"/>
      <c r="N31" s="37"/>
      <c r="O31" s="37"/>
      <c r="P31" s="8"/>
      <c r="Q31" s="1"/>
    </row>
    <row r="32" spans="1:17" ht="60.75" customHeight="1" thickBot="1" x14ac:dyDescent="0.3">
      <c r="A32" s="1"/>
      <c r="B32" s="5"/>
      <c r="C32" s="94" t="s">
        <v>86</v>
      </c>
      <c r="D32" s="19"/>
      <c r="E32" s="149" t="str">
        <f>+IF(Hoja1!K29&gt;=0.5,"Si","No")</f>
        <v>Si</v>
      </c>
      <c r="F32" s="18"/>
      <c r="G32" s="150">
        <f>+Hoja1!K29</f>
        <v>1</v>
      </c>
      <c r="H32" s="18"/>
      <c r="I32" s="326" t="s">
        <v>221</v>
      </c>
      <c r="J32" s="332"/>
      <c r="K32" s="332"/>
      <c r="L32" s="332"/>
      <c r="M32" s="333"/>
      <c r="N32" s="35"/>
      <c r="O32" s="35"/>
      <c r="P32" s="8"/>
      <c r="Q32" s="1"/>
    </row>
    <row r="33" spans="1:17" ht="17.25" customHeight="1" thickBot="1" x14ac:dyDescent="0.45">
      <c r="A33" s="1"/>
      <c r="B33" s="5"/>
      <c r="C33" s="91"/>
      <c r="D33" s="23"/>
      <c r="E33" s="98"/>
      <c r="F33" s="18"/>
      <c r="G33" s="24"/>
      <c r="H33" s="18"/>
      <c r="I33" s="339"/>
      <c r="J33" s="339"/>
      <c r="K33" s="339"/>
      <c r="L33" s="339"/>
      <c r="M33" s="339"/>
      <c r="N33" s="37"/>
      <c r="O33" s="37"/>
      <c r="P33" s="8"/>
      <c r="Q33" s="1"/>
    </row>
    <row r="34" spans="1:17" ht="87" customHeight="1" thickBot="1" x14ac:dyDescent="0.3">
      <c r="A34" s="1"/>
      <c r="B34" s="5"/>
      <c r="C34" s="95" t="s">
        <v>136</v>
      </c>
      <c r="D34" s="19"/>
      <c r="E34" s="97" t="str">
        <f>+IF(Hoja1!K36&gt;=0.5,"Si","No")</f>
        <v>Si</v>
      </c>
      <c r="F34" s="18"/>
      <c r="G34" s="150">
        <f>+Hoja1!K36</f>
        <v>0.9</v>
      </c>
      <c r="H34" s="18"/>
      <c r="I34" s="326" t="s">
        <v>235</v>
      </c>
      <c r="J34" s="327"/>
      <c r="K34" s="327"/>
      <c r="L34" s="327"/>
      <c r="M34" s="328"/>
      <c r="N34" s="35"/>
      <c r="O34" s="35"/>
      <c r="P34" s="8"/>
      <c r="Q34" s="1"/>
    </row>
    <row r="35" spans="1:17" ht="8.25" customHeight="1" x14ac:dyDescent="0.25">
      <c r="A35" s="1"/>
      <c r="B35" s="5"/>
      <c r="C35" s="25"/>
      <c r="D35" s="25"/>
      <c r="E35" s="15"/>
      <c r="F35" s="6"/>
      <c r="G35" s="6"/>
      <c r="H35" s="6"/>
      <c r="I35" s="6"/>
      <c r="J35" s="6"/>
      <c r="K35" s="6"/>
      <c r="L35" s="6"/>
      <c r="M35" s="26"/>
      <c r="N35" s="26"/>
      <c r="O35" s="26"/>
      <c r="P35" s="8"/>
      <c r="Q35" s="1"/>
    </row>
    <row r="36" spans="1:17" ht="8.25" customHeight="1" x14ac:dyDescent="0.25">
      <c r="A36" s="1"/>
      <c r="B36" s="5"/>
      <c r="C36" s="27"/>
      <c r="D36" s="25"/>
      <c r="E36" s="15"/>
      <c r="F36" s="6"/>
      <c r="G36" s="6"/>
      <c r="H36" s="6"/>
      <c r="I36" s="6"/>
      <c r="J36" s="6"/>
      <c r="K36" s="6"/>
      <c r="L36" s="6"/>
      <c r="M36" s="26"/>
      <c r="N36" s="26"/>
      <c r="O36" s="26"/>
      <c r="P36" s="8"/>
      <c r="Q36" s="1"/>
    </row>
    <row r="37" spans="1:17" ht="9" customHeight="1" x14ac:dyDescent="0.25">
      <c r="A37" s="1"/>
      <c r="B37" s="5"/>
      <c r="C37" s="28"/>
      <c r="D37" s="6"/>
      <c r="E37" s="6"/>
      <c r="F37" s="6"/>
      <c r="G37" s="6"/>
      <c r="H37" s="6"/>
      <c r="I37" s="6"/>
      <c r="J37" s="6"/>
      <c r="K37" s="6"/>
      <c r="L37" s="6"/>
      <c r="M37" s="6"/>
      <c r="N37" s="6"/>
      <c r="O37" s="6"/>
      <c r="P37" s="8"/>
      <c r="Q37" s="1"/>
    </row>
    <row r="38" spans="1:17" ht="12" customHeight="1" thickBot="1" x14ac:dyDescent="0.3">
      <c r="A38" s="1"/>
      <c r="B38" s="29"/>
      <c r="C38" s="30"/>
      <c r="D38" s="30"/>
      <c r="E38" s="30"/>
      <c r="F38" s="30"/>
      <c r="G38" s="30"/>
      <c r="H38" s="30"/>
      <c r="I38" s="30"/>
      <c r="J38" s="30"/>
      <c r="K38" s="30"/>
      <c r="L38" s="30"/>
      <c r="M38" s="30"/>
      <c r="N38" s="30"/>
      <c r="O38" s="30"/>
      <c r="P38" s="31"/>
      <c r="Q38" s="1"/>
    </row>
    <row r="39" spans="1:17" ht="5.25" customHeight="1" thickTop="1" x14ac:dyDescent="0.25">
      <c r="A39" s="1"/>
      <c r="B39" s="1"/>
      <c r="C39" s="1"/>
      <c r="D39" s="1"/>
      <c r="E39" s="1"/>
      <c r="F39" s="1"/>
      <c r="G39" s="1"/>
      <c r="H39" s="1"/>
      <c r="I39" s="1"/>
      <c r="J39" s="1"/>
      <c r="K39" s="1"/>
      <c r="L39" s="1"/>
      <c r="M39" s="1"/>
      <c r="N39" s="1"/>
      <c r="O39" s="1"/>
      <c r="P39" s="1"/>
      <c r="Q39" s="1"/>
    </row>
    <row r="40" spans="1:17" ht="9.75" customHeight="1" x14ac:dyDescent="0.25">
      <c r="A40" s="1"/>
      <c r="B40" s="1"/>
      <c r="C40" s="1"/>
      <c r="D40" s="1"/>
      <c r="E40" s="1"/>
      <c r="F40" s="1"/>
      <c r="G40" s="1"/>
      <c r="H40" s="1"/>
      <c r="I40" s="1"/>
      <c r="J40" s="1"/>
      <c r="K40" s="1"/>
      <c r="L40" s="1"/>
      <c r="M40" s="1"/>
      <c r="N40" s="1"/>
      <c r="O40" s="1"/>
      <c r="P40" s="1"/>
      <c r="Q40" s="1"/>
    </row>
    <row r="41" spans="1:17" ht="4.5" customHeight="1" x14ac:dyDescent="0.25">
      <c r="A41" s="1"/>
      <c r="B41" s="1"/>
      <c r="C41" s="1"/>
      <c r="D41" s="1"/>
      <c r="E41" s="1"/>
      <c r="F41" s="1"/>
      <c r="G41" s="1"/>
      <c r="H41" s="1"/>
      <c r="I41" s="1"/>
      <c r="J41" s="1"/>
      <c r="K41" s="1"/>
      <c r="L41" s="1"/>
      <c r="M41" s="1"/>
      <c r="N41" s="1"/>
      <c r="O41" s="1"/>
      <c r="P41" s="1"/>
      <c r="Q41" s="1"/>
    </row>
  </sheetData>
  <sheetProtection algorithmName="SHA-512" hashValue="mur5Q3PEaZxn8LXLz/eSymodHMyMcb7gr8gXWBwpSU/m7uV0ZPVWkcKOdJlg0OS/SXBXX9P/iBb2vTO1mWy68A==" saltValue="abZlHLcGIMQMz4F8z7vkTw==" spinCount="100000" sheet="1" objects="1" scenarios="1" formatCells="0" formatRows="0"/>
  <mergeCells count="22">
    <mergeCell ref="I34:M34"/>
    <mergeCell ref="I30:M30"/>
    <mergeCell ref="I32:M32"/>
    <mergeCell ref="I24:M24"/>
    <mergeCell ref="I26:M26"/>
    <mergeCell ref="I28:M28"/>
    <mergeCell ref="I25:M25"/>
    <mergeCell ref="I27:M27"/>
    <mergeCell ref="I29:M29"/>
    <mergeCell ref="I31:M31"/>
    <mergeCell ref="I33:M33"/>
    <mergeCell ref="C21:D21"/>
    <mergeCell ref="C22:D22"/>
    <mergeCell ref="E4:E5"/>
    <mergeCell ref="F4:M5"/>
    <mergeCell ref="F6:M6"/>
    <mergeCell ref="I8:K8"/>
    <mergeCell ref="C18:M18"/>
    <mergeCell ref="C20:D20"/>
    <mergeCell ref="F20:M20"/>
    <mergeCell ref="F21:M21"/>
    <mergeCell ref="F22:M22"/>
  </mergeCells>
  <conditionalFormatting sqref="G26 G28 G30 G32 G34">
    <cfRule type="cellIs" priority="4" operator="between">
      <formula>0.75</formula>
      <formula>1</formula>
    </cfRule>
    <cfRule type="cellIs" dxfId="11" priority="5" operator="between">
      <formula>0.5</formula>
      <formula>0.75</formula>
    </cfRule>
    <cfRule type="cellIs" dxfId="10" priority="6" operator="between">
      <formula>0</formula>
      <formula>0.49</formula>
    </cfRule>
    <cfRule type="cellIs" dxfId="9" priority="31" operator="between">
      <formula>0.76</formula>
      <formula>1</formula>
    </cfRule>
    <cfRule type="cellIs" dxfId="8" priority="32" operator="between">
      <formula>0.51</formula>
      <formula>0.75</formula>
    </cfRule>
    <cfRule type="cellIs" dxfId="7" priority="33" operator="between">
      <formula>0.26</formula>
      <formula>0.5</formula>
    </cfRule>
  </conditionalFormatting>
  <conditionalFormatting sqref="M8">
    <cfRule type="cellIs" dxfId="6" priority="1" operator="between">
      <formula>0.75</formula>
      <formula>1</formula>
    </cfRule>
    <cfRule type="cellIs" dxfId="5" priority="2" operator="between">
      <formula>0.5</formula>
      <formula>0.75</formula>
    </cfRule>
    <cfRule type="cellIs" dxfId="4" priority="3" operator="between">
      <formula>0</formula>
      <formula>0.49</formula>
    </cfRule>
    <cfRule type="cellIs" priority="27" operator="between">
      <formula>0.76</formula>
      <formula>1</formula>
    </cfRule>
    <cfRule type="cellIs" dxfId="3" priority="28" operator="between">
      <formula>0.51</formula>
      <formula>0.75</formula>
    </cfRule>
    <cfRule type="cellIs" dxfId="2" priority="29" operator="between">
      <formula>0.26</formula>
      <formula>0.5</formula>
    </cfRule>
    <cfRule type="cellIs" dxfId="1" priority="30" operator="between">
      <formula>0</formula>
      <formula>0.25</formula>
    </cfRule>
  </conditionalFormatting>
  <dataValidations count="3">
    <dataValidation type="list" allowBlank="1" showInputMessage="1" showErrorMessage="1" sqref="E21:E22" xr:uid="{00000000-0002-0000-0300-000000000000}">
      <formula1>"Si, No"</formula1>
    </dataValidation>
    <dataValidation allowBlank="1" showInputMessage="1" showErrorMessage="1" prompt="Celda formulada, información proveniente de la pestaña de deficiencias." sqref="E24" xr:uid="{00000000-0002-0000-0300-000001000000}"/>
    <dataValidation type="list" allowBlank="1" showInputMessage="1" showErrorMessage="1" sqref="E20" xr:uid="{00000000-0002-0000-0300-000002000000}">
      <formula1>"Si,En proceso,No"</formula1>
    </dataValidation>
  </dataValidations>
  <pageMargins left="0.23622047244094491" right="0.23622047244094491" top="0.74803149606299213" bottom="0.74803149606299213" header="0.31496062992125984" footer="0.31496062992125984"/>
  <pageSetup paperSize="9" scale="35"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34" operator="between" id="{7ADAD4B9-72C7-4518-BD8A-A7D8DD349CD9}">
            <xm:f>0</xm:f>
            <xm:f>'\Users\dell\Desktop\cesar\HISTORICOS\[2020-04-22_Formato_informe_sci_parametrizado_final.xlsx]Analisis de Resultados'!#REF!</xm:f>
            <x14:dxf>
              <fill>
                <patternFill>
                  <bgColor rgb="FFFF0000"/>
                </patternFill>
              </fill>
            </x14:dxf>
          </x14:cfRule>
          <xm:sqref>G26 G28 G30 G32 G34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5"/>
  <sheetViews>
    <sheetView workbookViewId="0">
      <selection activeCell="F2" sqref="F2"/>
    </sheetView>
  </sheetViews>
  <sheetFormatPr baseColWidth="10" defaultColWidth="11.42578125" defaultRowHeight="15" x14ac:dyDescent="0.25"/>
  <cols>
    <col min="2" max="2" width="31" bestFit="1" customWidth="1"/>
    <col min="3" max="3" width="17.140625" customWidth="1"/>
    <col min="5" max="5" width="15.140625" customWidth="1"/>
    <col min="10" max="10" width="15.7109375" customWidth="1"/>
    <col min="11" max="11" width="12" bestFit="1" customWidth="1"/>
  </cols>
  <sheetData>
    <row r="1" spans="1:11" ht="84.75" customHeight="1" x14ac:dyDescent="0.25">
      <c r="A1" s="154" t="s">
        <v>25</v>
      </c>
      <c r="B1" s="154" t="s">
        <v>6</v>
      </c>
      <c r="C1" s="155" t="s">
        <v>8</v>
      </c>
      <c r="D1" s="156" t="s">
        <v>26</v>
      </c>
      <c r="E1" s="156" t="s">
        <v>27</v>
      </c>
      <c r="F1" s="156" t="s">
        <v>137</v>
      </c>
      <c r="G1" s="157" t="s">
        <v>138</v>
      </c>
      <c r="H1" s="157" t="s">
        <v>139</v>
      </c>
      <c r="I1" s="157" t="s">
        <v>118</v>
      </c>
      <c r="J1" s="157" t="s">
        <v>140</v>
      </c>
      <c r="K1" s="157" t="s">
        <v>141</v>
      </c>
    </row>
    <row r="2" spans="1:11" x14ac:dyDescent="0.25">
      <c r="A2" s="158" t="s">
        <v>142</v>
      </c>
      <c r="B2" s="158" t="str">
        <f>+VLOOKUP(A2,'Estado SCI'!$A$16:$C$59,3,0)</f>
        <v>AMBIENTE DE CONTROL</v>
      </c>
      <c r="C2" s="158" t="s">
        <v>33</v>
      </c>
      <c r="D2" s="158" t="s">
        <v>34</v>
      </c>
      <c r="E2" s="158" t="s">
        <v>35</v>
      </c>
      <c r="F2" s="158" t="str">
        <f>+VLOOKUP(A2,'Estado SCI'!$A$16:$I$59,9,0)</f>
        <v>Mantenimiento del control</v>
      </c>
      <c r="G2" s="158">
        <f>+VLOOKUP(A2,'Estado SCI'!$A$16:$L$59,12,0)</f>
        <v>20.123000000000001</v>
      </c>
      <c r="H2" s="158">
        <f t="shared" ref="H2:H45" si="0">+_xlfn.RANK.EQ(G2,$G$2:$G$45,1)</f>
        <v>1</v>
      </c>
      <c r="I2" s="158" t="str">
        <f>+IF(VLOOKUP(A2,'Estado SCI'!$A$16:$G$59,7,0)="","",VLOOKUP(A2,'Estado SCI'!$A$16:$G$59,7,0))</f>
        <v>Si</v>
      </c>
      <c r="J2" s="159">
        <f>+IF(I2="Si",1,IF(I2="En proceso",0.5,0))</f>
        <v>1</v>
      </c>
      <c r="K2" s="160">
        <f t="shared" ref="K2:K45" si="1">+AVERAGEIF($B$2:$B$45,B2,$J$2:$J$45)</f>
        <v>1</v>
      </c>
    </row>
    <row r="3" spans="1:11" x14ac:dyDescent="0.25">
      <c r="A3" s="158" t="s">
        <v>143</v>
      </c>
      <c r="B3" s="158" t="s">
        <v>32</v>
      </c>
      <c r="C3" s="158" t="s">
        <v>33</v>
      </c>
      <c r="D3" s="158" t="s">
        <v>37</v>
      </c>
      <c r="E3" s="158" t="s">
        <v>38</v>
      </c>
      <c r="F3" s="158" t="str">
        <f>+VLOOKUP(A3,'Estado SCI'!$A$16:$I$59,9,0)</f>
        <v>Mantenimiento del control</v>
      </c>
      <c r="G3" s="158">
        <f>+VLOOKUP(A3,'Estado SCI'!$A$16:$L$59,12,0)</f>
        <v>20.1234</v>
      </c>
      <c r="H3" s="158">
        <f t="shared" si="0"/>
        <v>2</v>
      </c>
      <c r="I3" s="158" t="str">
        <f>+IF(VLOOKUP(A3,'Estado SCI'!$A$16:$G$59,7,0)="","",VLOOKUP(A3,'Estado SCI'!$A$16:$G$59,7,0))</f>
        <v>Si</v>
      </c>
      <c r="J3" s="159">
        <f t="shared" ref="J3:J45" si="2">+IF(I3="Si",1,IF(I3="En proceso",0.5,0))</f>
        <v>1</v>
      </c>
      <c r="K3" s="160">
        <f t="shared" si="1"/>
        <v>1</v>
      </c>
    </row>
    <row r="4" spans="1:11" x14ac:dyDescent="0.25">
      <c r="A4" s="158" t="s">
        <v>144</v>
      </c>
      <c r="B4" s="158" t="s">
        <v>32</v>
      </c>
      <c r="C4" s="158" t="s">
        <v>33</v>
      </c>
      <c r="D4" s="158" t="s">
        <v>40</v>
      </c>
      <c r="E4" s="158" t="s">
        <v>41</v>
      </c>
      <c r="F4" s="158" t="str">
        <f>+VLOOKUP(A4,'Estado SCI'!$A$16:$I$59,9,0)</f>
        <v>Mantenimiento del control</v>
      </c>
      <c r="G4" s="158">
        <f>+VLOOKUP(A4,'Estado SCI'!$A$16:$L$59,12,0)</f>
        <v>20.123449999999998</v>
      </c>
      <c r="H4" s="158">
        <f t="shared" si="0"/>
        <v>3</v>
      </c>
      <c r="I4" s="158" t="str">
        <f>+IF(VLOOKUP(A4,'Estado SCI'!$A$16:$G$59,7,0)="","",VLOOKUP(A4,'Estado SCI'!$A$16:$G$59,7,0))</f>
        <v>Si</v>
      </c>
      <c r="J4" s="159">
        <f t="shared" si="2"/>
        <v>1</v>
      </c>
      <c r="K4" s="160">
        <f t="shared" si="1"/>
        <v>1</v>
      </c>
    </row>
    <row r="5" spans="1:11" x14ac:dyDescent="0.25">
      <c r="A5" s="158" t="s">
        <v>145</v>
      </c>
      <c r="B5" s="158" t="s">
        <v>32</v>
      </c>
      <c r="C5" s="158" t="s">
        <v>33</v>
      </c>
      <c r="D5" s="158" t="s">
        <v>42</v>
      </c>
      <c r="E5" s="158" t="s">
        <v>43</v>
      </c>
      <c r="F5" s="158" t="str">
        <f>+VLOOKUP(A5,'Estado SCI'!$A$16:$I$59,9,0)</f>
        <v>Mantenimiento del control</v>
      </c>
      <c r="G5" s="158">
        <f>+VLOOKUP(A5,'Estado SCI'!$A$16:$L$59,12,0)</f>
        <v>20.123456000000001</v>
      </c>
      <c r="H5" s="158">
        <f t="shared" si="0"/>
        <v>4</v>
      </c>
      <c r="I5" s="158" t="str">
        <f>+IF(VLOOKUP(A5,'Estado SCI'!$A$16:$G$59,7,0)="","",VLOOKUP(A5,'Estado SCI'!$A$16:$G$59,7,0))</f>
        <v>Si</v>
      </c>
      <c r="J5" s="159">
        <f t="shared" si="2"/>
        <v>1</v>
      </c>
      <c r="K5" s="160">
        <f t="shared" si="1"/>
        <v>1</v>
      </c>
    </row>
    <row r="6" spans="1:11" x14ac:dyDescent="0.25">
      <c r="A6" s="158" t="s">
        <v>146</v>
      </c>
      <c r="B6" s="158" t="s">
        <v>32</v>
      </c>
      <c r="C6" s="158" t="s">
        <v>33</v>
      </c>
      <c r="D6" s="158" t="s">
        <v>44</v>
      </c>
      <c r="E6" s="158" t="s">
        <v>45</v>
      </c>
      <c r="F6" s="158" t="str">
        <f>+VLOOKUP(A6,'Estado SCI'!$A$16:$I$59,9,0)</f>
        <v>Mantenimiento del control</v>
      </c>
      <c r="G6" s="158">
        <f>+VLOOKUP(A6,'Estado SCI'!$A$16:$L$59,12,0)</f>
        <v>20.123456780000001</v>
      </c>
      <c r="H6" s="158">
        <f t="shared" si="0"/>
        <v>5</v>
      </c>
      <c r="I6" s="158" t="str">
        <f>+IF(VLOOKUP(A6,'Estado SCI'!$A$16:$G$59,7,0)="","",VLOOKUP(A6,'Estado SCI'!$A$16:$G$59,7,0))</f>
        <v>Si</v>
      </c>
      <c r="J6" s="159">
        <f t="shared" si="2"/>
        <v>1</v>
      </c>
      <c r="K6" s="160">
        <f t="shared" si="1"/>
        <v>1</v>
      </c>
    </row>
    <row r="7" spans="1:11" x14ac:dyDescent="0.25">
      <c r="A7" s="158" t="s">
        <v>147</v>
      </c>
      <c r="B7" s="158" t="s">
        <v>32</v>
      </c>
      <c r="C7" s="158" t="s">
        <v>33</v>
      </c>
      <c r="D7" s="158" t="s">
        <v>46</v>
      </c>
      <c r="E7" s="158" t="s">
        <v>47</v>
      </c>
      <c r="F7" s="158" t="str">
        <f>+VLOOKUP(A7,'Estado SCI'!$A$16:$I$59,9,0)</f>
        <v>Mantenimiento del control</v>
      </c>
      <c r="G7" s="158">
        <f>+VLOOKUP(A7,'Estado SCI'!$A$16:$L$59,12,0)</f>
        <v>20.123456788999999</v>
      </c>
      <c r="H7" s="158">
        <f t="shared" si="0"/>
        <v>6</v>
      </c>
      <c r="I7" s="158" t="str">
        <f>+IF(VLOOKUP(A7,'Estado SCI'!$A$16:$G$59,7,0)="","",VLOOKUP(A7,'Estado SCI'!$A$16:$G$59,7,0))</f>
        <v>Si</v>
      </c>
      <c r="J7" s="159">
        <f t="shared" si="2"/>
        <v>1</v>
      </c>
      <c r="K7" s="160">
        <f t="shared" si="1"/>
        <v>1</v>
      </c>
    </row>
    <row r="8" spans="1:11" x14ac:dyDescent="0.25">
      <c r="A8" s="158" t="s">
        <v>148</v>
      </c>
      <c r="B8" s="158" t="s">
        <v>32</v>
      </c>
      <c r="C8" s="158" t="s">
        <v>33</v>
      </c>
      <c r="D8" s="158" t="s">
        <v>48</v>
      </c>
      <c r="E8" s="158" t="s">
        <v>49</v>
      </c>
      <c r="F8" s="158" t="str">
        <f>+VLOOKUP(A8,'Estado SCI'!$A$16:$I$59,9,0)</f>
        <v>Mantenimiento del control</v>
      </c>
      <c r="G8" s="158">
        <f>+VLOOKUP(A8,'Estado SCI'!$A$16:$L$59,12,0)</f>
        <v>20.1234567891</v>
      </c>
      <c r="H8" s="158">
        <f t="shared" si="0"/>
        <v>7</v>
      </c>
      <c r="I8" s="158" t="str">
        <f>+IF(VLOOKUP(A8,'Estado SCI'!$A$16:$G$59,7,0)="","",VLOOKUP(A8,'Estado SCI'!$A$16:$G$59,7,0))</f>
        <v>Si</v>
      </c>
      <c r="J8" s="159">
        <f t="shared" si="2"/>
        <v>1</v>
      </c>
      <c r="K8" s="160">
        <f t="shared" si="1"/>
        <v>1</v>
      </c>
    </row>
    <row r="9" spans="1:11" x14ac:dyDescent="0.25">
      <c r="A9" s="158" t="s">
        <v>149</v>
      </c>
      <c r="B9" s="158" t="s">
        <v>32</v>
      </c>
      <c r="C9" s="158" t="s">
        <v>33</v>
      </c>
      <c r="D9" s="158" t="s">
        <v>50</v>
      </c>
      <c r="E9" s="158" t="s">
        <v>51</v>
      </c>
      <c r="F9" s="158" t="str">
        <f>+VLOOKUP(A9,'Estado SCI'!$A$16:$I$59,9,0)</f>
        <v>Mantenimiento del control</v>
      </c>
      <c r="G9" s="158">
        <f>+VLOOKUP(A9,'Estado SCI'!$A$16:$L$59,12,0)</f>
        <v>20.123456789119999</v>
      </c>
      <c r="H9" s="158">
        <f t="shared" si="0"/>
        <v>8</v>
      </c>
      <c r="I9" s="158" t="str">
        <f>+IF(VLOOKUP(A9,'Estado SCI'!$A$16:$G$59,7,0)="","",VLOOKUP(A9,'Estado SCI'!$A$16:$G$59,7,0))</f>
        <v>Si</v>
      </c>
      <c r="J9" s="159">
        <f t="shared" si="2"/>
        <v>1</v>
      </c>
      <c r="K9" s="160">
        <f t="shared" si="1"/>
        <v>1</v>
      </c>
    </row>
    <row r="10" spans="1:11" x14ac:dyDescent="0.25">
      <c r="A10" s="158" t="s">
        <v>150</v>
      </c>
      <c r="B10" s="158" t="s">
        <v>32</v>
      </c>
      <c r="C10" s="158" t="s">
        <v>33</v>
      </c>
      <c r="D10" s="158" t="s">
        <v>52</v>
      </c>
      <c r="E10" s="158" t="s">
        <v>53</v>
      </c>
      <c r="F10" s="158" t="str">
        <f>+VLOOKUP(A10,'Estado SCI'!$A$16:$I$59,9,0)</f>
        <v>Mantenimiento del control</v>
      </c>
      <c r="G10" s="158">
        <f>+VLOOKUP(A10,'Estado SCI'!$A$16:$L$59,12,0)</f>
        <v>20.123456789123001</v>
      </c>
      <c r="H10" s="158">
        <f t="shared" si="0"/>
        <v>9</v>
      </c>
      <c r="I10" s="158" t="str">
        <f>+IF(VLOOKUP(A10,'Estado SCI'!$A$16:$G$59,7,0)="","",VLOOKUP(A10,'Estado SCI'!$A$16:$G$59,7,0))</f>
        <v>Si</v>
      </c>
      <c r="J10" s="159">
        <f t="shared" si="2"/>
        <v>1</v>
      </c>
      <c r="K10" s="160">
        <f t="shared" si="1"/>
        <v>1</v>
      </c>
    </row>
    <row r="11" spans="1:11" x14ac:dyDescent="0.25">
      <c r="A11" s="158" t="s">
        <v>151</v>
      </c>
      <c r="B11" s="158" t="s">
        <v>32</v>
      </c>
      <c r="C11" s="158" t="s">
        <v>33</v>
      </c>
      <c r="D11" s="158" t="s">
        <v>54</v>
      </c>
      <c r="E11" s="158" t="s">
        <v>55</v>
      </c>
      <c r="F11" s="158" t="str">
        <f>+VLOOKUP(A11,'Estado SCI'!$A$16:$I$59,9,0)</f>
        <v>Mantenimiento del control</v>
      </c>
      <c r="G11" s="158">
        <f>+VLOOKUP(A11,'Estado SCI'!$A$16:$L$59,12,0)</f>
        <v>20.123456789123399</v>
      </c>
      <c r="H11" s="158">
        <f t="shared" si="0"/>
        <v>10</v>
      </c>
      <c r="I11" s="158" t="str">
        <f>+IF(VLOOKUP(A11,'Estado SCI'!$A$16:$G$59,7,0)="","",VLOOKUP(A11,'Estado SCI'!$A$16:$G$59,7,0))</f>
        <v>Si</v>
      </c>
      <c r="J11" s="159">
        <f t="shared" si="2"/>
        <v>1</v>
      </c>
      <c r="K11" s="160">
        <f t="shared" si="1"/>
        <v>1</v>
      </c>
    </row>
    <row r="12" spans="1:11" x14ac:dyDescent="0.25">
      <c r="A12" s="158" t="s">
        <v>152</v>
      </c>
      <c r="B12" s="158" t="s">
        <v>32</v>
      </c>
      <c r="C12" s="158" t="s">
        <v>33</v>
      </c>
      <c r="D12" s="158" t="s">
        <v>56</v>
      </c>
      <c r="E12" s="158" t="s">
        <v>57</v>
      </c>
      <c r="F12" s="158" t="str">
        <f>+VLOOKUP(A12,'Estado SCI'!$A$16:$I$59,9,0)</f>
        <v>Mantenimiento del control</v>
      </c>
      <c r="G12" s="158">
        <f>+VLOOKUP(A12,'Estado SCI'!$A$16:$L$59,12,0)</f>
        <v>20.123456789123448</v>
      </c>
      <c r="H12" s="158">
        <f t="shared" si="0"/>
        <v>11</v>
      </c>
      <c r="I12" s="158" t="str">
        <f>+IF(VLOOKUP(A12,'Estado SCI'!$A$16:$G$59,7,0)="","",VLOOKUP(A12,'Estado SCI'!$A$16:$G$59,7,0))</f>
        <v>Si</v>
      </c>
      <c r="J12" s="159">
        <f t="shared" si="2"/>
        <v>1</v>
      </c>
      <c r="K12" s="160">
        <f t="shared" si="1"/>
        <v>1</v>
      </c>
    </row>
    <row r="13" spans="1:11" x14ac:dyDescent="0.25">
      <c r="A13" s="158" t="s">
        <v>153</v>
      </c>
      <c r="B13" s="158" t="s">
        <v>32</v>
      </c>
      <c r="C13" s="158" t="s">
        <v>33</v>
      </c>
      <c r="D13" s="158" t="s">
        <v>58</v>
      </c>
      <c r="E13" s="158" t="s">
        <v>59</v>
      </c>
      <c r="F13" s="158" t="str">
        <f>+VLOOKUP(A13,'Estado SCI'!$A$16:$I$59,9,0)</f>
        <v>Mantenimiento del control</v>
      </c>
      <c r="G13" s="158">
        <f>+VLOOKUP(A13,'Estado SCI'!$A$16:$L$59,12,0)</f>
        <v>20.123456789123455</v>
      </c>
      <c r="H13" s="158">
        <f t="shared" si="0"/>
        <v>12</v>
      </c>
      <c r="I13" s="158" t="str">
        <f>+IF(VLOOKUP(A13,'Estado SCI'!$A$16:$G$59,7,0)="","",VLOOKUP(A13,'Estado SCI'!$A$16:$G$59,7,0))</f>
        <v>Si</v>
      </c>
      <c r="J13" s="159">
        <f t="shared" si="2"/>
        <v>1</v>
      </c>
      <c r="K13" s="160">
        <f t="shared" si="1"/>
        <v>1</v>
      </c>
    </row>
    <row r="14" spans="1:11" ht="15" customHeight="1" x14ac:dyDescent="0.25">
      <c r="A14" s="158" t="s">
        <v>154</v>
      </c>
      <c r="B14" s="158" t="str">
        <f>+VLOOKUP(A14,'Estado SCI'!$A$16:$C$59,3,0)</f>
        <v>EVALUACION DEL RIESGO</v>
      </c>
      <c r="C14" s="158" t="s">
        <v>62</v>
      </c>
      <c r="D14" s="158" t="s">
        <v>34</v>
      </c>
      <c r="E14" s="158" t="s">
        <v>155</v>
      </c>
      <c r="F14" s="158" t="str">
        <f>+VLOOKUP(A14,'Estado SCI'!$A$16:$I$59,9,0)</f>
        <v>Mantenimiento del control</v>
      </c>
      <c r="G14" s="158">
        <f>+VLOOKUP(A14,'Estado SCI'!$A$16:$L$59,12,0)</f>
        <v>40.229999999999997</v>
      </c>
      <c r="H14" s="158">
        <f t="shared" si="0"/>
        <v>13</v>
      </c>
      <c r="I14" s="158" t="str">
        <f>+IF(VLOOKUP(A14,'Estado SCI'!$A$16:$G$59,7,0)="","",VLOOKUP(A14,'Estado SCI'!$A$16:$G$59,7,0))</f>
        <v>Si</v>
      </c>
      <c r="J14" s="159">
        <f t="shared" si="2"/>
        <v>1</v>
      </c>
      <c r="K14" s="160">
        <f t="shared" si="1"/>
        <v>1</v>
      </c>
    </row>
    <row r="15" spans="1:11" ht="15" customHeight="1" x14ac:dyDescent="0.25">
      <c r="A15" s="158" t="s">
        <v>156</v>
      </c>
      <c r="B15" s="158" t="s">
        <v>61</v>
      </c>
      <c r="C15" s="158" t="s">
        <v>62</v>
      </c>
      <c r="D15" s="158" t="s">
        <v>37</v>
      </c>
      <c r="E15" s="158" t="s">
        <v>157</v>
      </c>
      <c r="F15" s="158" t="str">
        <f>+VLOOKUP(A15,'Estado SCI'!$A$16:$I$59,9,0)</f>
        <v>Mantenimiento del control</v>
      </c>
      <c r="G15" s="158">
        <f>+VLOOKUP(A15,'Estado SCI'!$A$16:$L$59,12,0)</f>
        <v>40.234000000000002</v>
      </c>
      <c r="H15" s="158">
        <f t="shared" si="0"/>
        <v>14</v>
      </c>
      <c r="I15" s="158" t="str">
        <f>+IF(VLOOKUP(A15,'Estado SCI'!$A$16:$G$59,7,0)="","",VLOOKUP(A15,'Estado SCI'!$A$16:$G$59,7,0))</f>
        <v>Si</v>
      </c>
      <c r="J15" s="159">
        <f t="shared" si="2"/>
        <v>1</v>
      </c>
      <c r="K15" s="160">
        <f t="shared" si="1"/>
        <v>1</v>
      </c>
    </row>
    <row r="16" spans="1:11" ht="15" customHeight="1" x14ac:dyDescent="0.25">
      <c r="A16" s="158" t="s">
        <v>158</v>
      </c>
      <c r="B16" s="158" t="s">
        <v>61</v>
      </c>
      <c r="C16" s="158" t="s">
        <v>62</v>
      </c>
      <c r="D16" s="158" t="s">
        <v>40</v>
      </c>
      <c r="E16" s="158" t="s">
        <v>159</v>
      </c>
      <c r="F16" s="158" t="str">
        <f>+VLOOKUP(A16,'Estado SCI'!$A$16:$I$59,9,0)</f>
        <v>Mantenimiento del control</v>
      </c>
      <c r="G16" s="158">
        <f>+VLOOKUP(A16,'Estado SCI'!$A$16:$L$59,12,0)</f>
        <v>40.234499999999997</v>
      </c>
      <c r="H16" s="158">
        <f t="shared" si="0"/>
        <v>15</v>
      </c>
      <c r="I16" s="158" t="str">
        <f>+IF(VLOOKUP(A16,'Estado SCI'!$A$16:$G$59,7,0)="","",VLOOKUP(A16,'Estado SCI'!$A$16:$G$59,7,0))</f>
        <v>Si</v>
      </c>
      <c r="J16" s="159">
        <f t="shared" si="2"/>
        <v>1</v>
      </c>
      <c r="K16" s="160">
        <f t="shared" si="1"/>
        <v>1</v>
      </c>
    </row>
    <row r="17" spans="1:11" ht="15.75" customHeight="1" x14ac:dyDescent="0.25">
      <c r="A17" s="158" t="s">
        <v>160</v>
      </c>
      <c r="B17" s="158" t="s">
        <v>61</v>
      </c>
      <c r="C17" s="158" t="s">
        <v>62</v>
      </c>
      <c r="D17" s="158" t="s">
        <v>42</v>
      </c>
      <c r="E17" s="158" t="s">
        <v>66</v>
      </c>
      <c r="F17" s="158" t="str">
        <f>+VLOOKUP(A17,'Estado SCI'!$A$16:$I$59,9,0)</f>
        <v>Mantenimiento del control</v>
      </c>
      <c r="G17" s="158">
        <f>+VLOOKUP(A17,'Estado SCI'!$A$16:$L$59,12,0)</f>
        <v>40.234560000000002</v>
      </c>
      <c r="H17" s="158">
        <f t="shared" si="0"/>
        <v>16</v>
      </c>
      <c r="I17" s="158" t="str">
        <f>+IF(VLOOKUP(A17,'Estado SCI'!$A$16:$G$59,7,0)="","",VLOOKUP(A17,'Estado SCI'!$A$16:$G$59,7,0))</f>
        <v>Si</v>
      </c>
      <c r="J17" s="159">
        <f t="shared" si="2"/>
        <v>1</v>
      </c>
      <c r="K17" s="160">
        <f t="shared" si="1"/>
        <v>1</v>
      </c>
    </row>
    <row r="18" spans="1:11" ht="15" customHeight="1" x14ac:dyDescent="0.25">
      <c r="A18" s="158" t="s">
        <v>161</v>
      </c>
      <c r="B18" s="158" t="s">
        <v>61</v>
      </c>
      <c r="C18" s="158" t="s">
        <v>79</v>
      </c>
      <c r="D18" s="158" t="s">
        <v>34</v>
      </c>
      <c r="E18" s="158" t="s">
        <v>69</v>
      </c>
      <c r="F18" s="158" t="str">
        <f>+VLOOKUP(A18,'Estado SCI'!$A$16:$I$59,9,0)</f>
        <v>Mantenimiento del control</v>
      </c>
      <c r="G18" s="158">
        <f>+VLOOKUP(A18,'Estado SCI'!$A$16:$L$59,12,0)</f>
        <v>40.234566999999998</v>
      </c>
      <c r="H18" s="158">
        <f t="shared" si="0"/>
        <v>17</v>
      </c>
      <c r="I18" s="158" t="str">
        <f>+IF(VLOOKUP(A18,'Estado SCI'!$A$16:$G$59,7,0)="","",VLOOKUP(A18,'Estado SCI'!$A$16:$G$59,7,0))</f>
        <v>Si</v>
      </c>
      <c r="J18" s="159">
        <f t="shared" si="2"/>
        <v>1</v>
      </c>
      <c r="K18" s="160">
        <f t="shared" si="1"/>
        <v>1</v>
      </c>
    </row>
    <row r="19" spans="1:11" ht="15" customHeight="1" x14ac:dyDescent="0.25">
      <c r="A19" s="158" t="s">
        <v>162</v>
      </c>
      <c r="B19" s="158" t="s">
        <v>61</v>
      </c>
      <c r="C19" s="158" t="s">
        <v>79</v>
      </c>
      <c r="D19" s="158" t="s">
        <v>37</v>
      </c>
      <c r="E19" s="158" t="s">
        <v>70</v>
      </c>
      <c r="F19" s="158" t="str">
        <f>+VLOOKUP(A19,'Estado SCI'!$A$16:$I$59,9,0)</f>
        <v>Mantenimiento del control</v>
      </c>
      <c r="G19" s="158">
        <f>+VLOOKUP(A19,'Estado SCI'!$A$16:$L$59,12,0)</f>
        <v>40.234567800000001</v>
      </c>
      <c r="H19" s="158">
        <f t="shared" si="0"/>
        <v>18</v>
      </c>
      <c r="I19" s="158" t="str">
        <f>+IF(VLOOKUP(A19,'Estado SCI'!$A$16:$G$59,7,0)="","",VLOOKUP(A19,'Estado SCI'!$A$16:$G$59,7,0))</f>
        <v>Si</v>
      </c>
      <c r="J19" s="159">
        <f t="shared" si="2"/>
        <v>1</v>
      </c>
      <c r="K19" s="160">
        <f t="shared" si="1"/>
        <v>1</v>
      </c>
    </row>
    <row r="20" spans="1:11" ht="15" customHeight="1" x14ac:dyDescent="0.25">
      <c r="A20" s="158" t="s">
        <v>163</v>
      </c>
      <c r="B20" s="158" t="s">
        <v>61</v>
      </c>
      <c r="C20" s="158" t="s">
        <v>79</v>
      </c>
      <c r="D20" s="158" t="s">
        <v>40</v>
      </c>
      <c r="E20" s="158" t="s">
        <v>71</v>
      </c>
      <c r="F20" s="158" t="str">
        <f>+VLOOKUP(A20,'Estado SCI'!$A$16:$I$59,9,0)</f>
        <v>Mantenimiento del control</v>
      </c>
      <c r="G20" s="158">
        <f>+VLOOKUP(A20,'Estado SCI'!$A$16:$L$59,12,0)</f>
        <v>40.234567890000001</v>
      </c>
      <c r="H20" s="158">
        <f t="shared" si="0"/>
        <v>19</v>
      </c>
      <c r="I20" s="158" t="str">
        <f>+IF(VLOOKUP(A20,'Estado SCI'!$A$16:$G$59,7,0)="","",VLOOKUP(A20,'Estado SCI'!$A$16:$G$59,7,0))</f>
        <v>Si</v>
      </c>
      <c r="J20" s="159">
        <f t="shared" si="2"/>
        <v>1</v>
      </c>
      <c r="K20" s="160">
        <f t="shared" si="1"/>
        <v>1</v>
      </c>
    </row>
    <row r="21" spans="1:11" ht="15.75" customHeight="1" x14ac:dyDescent="0.25">
      <c r="A21" s="158" t="s">
        <v>164</v>
      </c>
      <c r="B21" s="158" t="s">
        <v>61</v>
      </c>
      <c r="C21" s="158" t="s">
        <v>79</v>
      </c>
      <c r="D21" s="158" t="s">
        <v>34</v>
      </c>
      <c r="E21" s="158" t="s">
        <v>74</v>
      </c>
      <c r="F21" s="158" t="str">
        <f>+VLOOKUP(A21,'Estado SCI'!$A$16:$I$59,9,0)</f>
        <v>Mantenimiento del control</v>
      </c>
      <c r="G21" s="158">
        <f>+VLOOKUP(A21,'Estado SCI'!$A$16:$L$59,12,0)</f>
        <v>40.234567891200001</v>
      </c>
      <c r="H21" s="158">
        <f t="shared" si="0"/>
        <v>20</v>
      </c>
      <c r="I21" s="158" t="str">
        <f>+IF(VLOOKUP(A21,'Estado SCI'!$A$16:$G$59,7,0)="","",VLOOKUP(A21,'Estado SCI'!$A$16:$G$59,7,0))</f>
        <v>Si</v>
      </c>
      <c r="J21" s="159">
        <f t="shared" si="2"/>
        <v>1</v>
      </c>
      <c r="K21" s="160">
        <f t="shared" si="1"/>
        <v>1</v>
      </c>
    </row>
    <row r="22" spans="1:11" ht="15" customHeight="1" x14ac:dyDescent="0.25">
      <c r="A22" s="158" t="s">
        <v>165</v>
      </c>
      <c r="B22" s="158" t="s">
        <v>61</v>
      </c>
      <c r="C22" s="158" t="s">
        <v>87</v>
      </c>
      <c r="D22" s="158" t="s">
        <v>37</v>
      </c>
      <c r="E22" s="158" t="s">
        <v>75</v>
      </c>
      <c r="F22" s="158" t="str">
        <f>+VLOOKUP(A22,'Estado SCI'!$A$16:$I$59,9,0)</f>
        <v>Mantenimiento del control</v>
      </c>
      <c r="G22" s="158">
        <f>+VLOOKUP(A22,'Estado SCI'!$A$16:$L$59,12,0)</f>
        <v>40.23456789123</v>
      </c>
      <c r="H22" s="158">
        <f t="shared" si="0"/>
        <v>21</v>
      </c>
      <c r="I22" s="158" t="str">
        <f>+IF(VLOOKUP(A22,'Estado SCI'!$A$16:$G$59,7,0)="","",VLOOKUP(A22,'Estado SCI'!$A$16:$G$59,7,0))</f>
        <v>Si</v>
      </c>
      <c r="J22" s="159">
        <f t="shared" si="2"/>
        <v>1</v>
      </c>
      <c r="K22" s="160">
        <f t="shared" si="1"/>
        <v>1</v>
      </c>
    </row>
    <row r="23" spans="1:11" ht="15" customHeight="1" x14ac:dyDescent="0.25">
      <c r="A23" s="158" t="s">
        <v>166</v>
      </c>
      <c r="B23" s="158" t="s">
        <v>61</v>
      </c>
      <c r="C23" s="158" t="s">
        <v>87</v>
      </c>
      <c r="D23" s="158" t="s">
        <v>40</v>
      </c>
      <c r="E23" s="158" t="s">
        <v>76</v>
      </c>
      <c r="F23" s="158" t="str">
        <f>+VLOOKUP(A23,'Estado SCI'!$A$16:$I$59,9,0)</f>
        <v>Mantenimiento del control</v>
      </c>
      <c r="G23" s="158">
        <f>+VLOOKUP(A23,'Estado SCI'!$A$16:$L$59,12,0)</f>
        <v>40.234567891234001</v>
      </c>
      <c r="H23" s="158">
        <f t="shared" si="0"/>
        <v>22</v>
      </c>
      <c r="I23" s="158" t="str">
        <f>+IF(VLOOKUP(A23,'Estado SCI'!$A$16:$G$59,7,0)="","",VLOOKUP(A23,'Estado SCI'!$A$16:$G$59,7,0))</f>
        <v>Si</v>
      </c>
      <c r="J23" s="159">
        <f t="shared" si="2"/>
        <v>1</v>
      </c>
      <c r="K23" s="160">
        <f t="shared" si="1"/>
        <v>1</v>
      </c>
    </row>
    <row r="24" spans="1:11" ht="15" customHeight="1" x14ac:dyDescent="0.25">
      <c r="A24" s="158" t="s">
        <v>167</v>
      </c>
      <c r="B24" s="158" t="str">
        <f>+VLOOKUP(A24,'Estado SCI'!$A$16:$C$59,3,0)</f>
        <v>ACTIVIDADES DE CONTROL</v>
      </c>
      <c r="C24" s="158" t="s">
        <v>87</v>
      </c>
      <c r="D24" s="158" t="s">
        <v>34</v>
      </c>
      <c r="E24" s="158" t="s">
        <v>80</v>
      </c>
      <c r="F24" s="158" t="str">
        <f>+VLOOKUP(A24,'Estado SCI'!$A$16:$I$59,9,0)</f>
        <v>Mantenimiento del control</v>
      </c>
      <c r="G24" s="158">
        <f>+VLOOKUP(A24,'Estado SCI'!$A$16:$L$59,12,0)</f>
        <v>60.31</v>
      </c>
      <c r="H24" s="158">
        <f t="shared" si="0"/>
        <v>23</v>
      </c>
      <c r="I24" s="158" t="str">
        <f>+IF(VLOOKUP(A24,'Estado SCI'!$A$16:$G$59,7,0)="","",VLOOKUP(A24,'Estado SCI'!$A$16:$G$59,7,0))</f>
        <v>Si</v>
      </c>
      <c r="J24" s="159">
        <f t="shared" si="2"/>
        <v>1</v>
      </c>
      <c r="K24" s="160">
        <f t="shared" si="1"/>
        <v>1</v>
      </c>
    </row>
    <row r="25" spans="1:11" ht="15" customHeight="1" x14ac:dyDescent="0.25">
      <c r="A25" s="158" t="s">
        <v>168</v>
      </c>
      <c r="B25" s="158" t="s">
        <v>78</v>
      </c>
      <c r="C25" s="158" t="s">
        <v>87</v>
      </c>
      <c r="D25" s="158" t="s">
        <v>37</v>
      </c>
      <c r="E25" s="158" t="s">
        <v>81</v>
      </c>
      <c r="F25" s="158" t="str">
        <f>+VLOOKUP(A25,'Estado SCI'!$A$16:$I$59,9,0)</f>
        <v>Mantenimiento del control</v>
      </c>
      <c r="G25" s="158">
        <f>+VLOOKUP(A25,'Estado SCI'!$A$16:$L$59,12,0)</f>
        <v>60.323</v>
      </c>
      <c r="H25" s="158">
        <f t="shared" si="0"/>
        <v>24</v>
      </c>
      <c r="I25" s="158" t="str">
        <f>+IF(VLOOKUP(A25,'Estado SCI'!$A$16:$G$59,7,0)="","",VLOOKUP(A25,'Estado SCI'!$A$16:$G$59,7,0))</f>
        <v>Si</v>
      </c>
      <c r="J25" s="159">
        <f t="shared" si="2"/>
        <v>1</v>
      </c>
      <c r="K25" s="160">
        <f t="shared" si="1"/>
        <v>1</v>
      </c>
    </row>
    <row r="26" spans="1:11" ht="15" customHeight="1" x14ac:dyDescent="0.25">
      <c r="A26" s="158" t="s">
        <v>169</v>
      </c>
      <c r="B26" s="158" t="s">
        <v>78</v>
      </c>
      <c r="C26" s="158" t="s">
        <v>87</v>
      </c>
      <c r="D26" s="158" t="s">
        <v>40</v>
      </c>
      <c r="E26" s="158" t="s">
        <v>82</v>
      </c>
      <c r="F26" s="158" t="str">
        <f>+VLOOKUP(A26,'Estado SCI'!$A$16:$I$59,9,0)</f>
        <v>Mantenimiento del control</v>
      </c>
      <c r="G26" s="158">
        <f>+VLOOKUP(A26,'Estado SCI'!$A$16:$L$59,12,0)</f>
        <v>60.323999999999998</v>
      </c>
      <c r="H26" s="158">
        <f t="shared" si="0"/>
        <v>25</v>
      </c>
      <c r="I26" s="158" t="str">
        <f>+IF(VLOOKUP(A26,'Estado SCI'!$A$16:$G$59,7,0)="","",VLOOKUP(A26,'Estado SCI'!$A$16:$G$59,7,0))</f>
        <v>Si</v>
      </c>
      <c r="J26" s="159">
        <f t="shared" si="2"/>
        <v>1</v>
      </c>
      <c r="K26" s="160">
        <f t="shared" si="1"/>
        <v>1</v>
      </c>
    </row>
    <row r="27" spans="1:11" ht="15.75" customHeight="1" x14ac:dyDescent="0.25">
      <c r="A27" s="158" t="s">
        <v>170</v>
      </c>
      <c r="B27" s="158" t="s">
        <v>78</v>
      </c>
      <c r="C27" s="158" t="s">
        <v>87</v>
      </c>
      <c r="D27" s="158" t="s">
        <v>42</v>
      </c>
      <c r="E27" s="158" t="s">
        <v>83</v>
      </c>
      <c r="F27" s="158" t="str">
        <f>+VLOOKUP(A27,'Estado SCI'!$A$16:$I$59,9,0)</f>
        <v>Mantenimiento del control</v>
      </c>
      <c r="G27" s="158">
        <f>+VLOOKUP(A27,'Estado SCI'!$A$16:$L$59,12,0)</f>
        <v>60.325000000000003</v>
      </c>
      <c r="H27" s="158">
        <f t="shared" si="0"/>
        <v>26</v>
      </c>
      <c r="I27" s="158" t="str">
        <f>+IF(VLOOKUP(A27,'Estado SCI'!$A$16:$G$59,7,0)="","",VLOOKUP(A27,'Estado SCI'!$A$16:$G$59,7,0))</f>
        <v>Si</v>
      </c>
      <c r="J27" s="159">
        <f t="shared" si="2"/>
        <v>1</v>
      </c>
      <c r="K27" s="160">
        <f t="shared" si="1"/>
        <v>1</v>
      </c>
    </row>
    <row r="28" spans="1:11" ht="15" customHeight="1" x14ac:dyDescent="0.25">
      <c r="A28" s="158" t="s">
        <v>171</v>
      </c>
      <c r="B28" s="158" t="s">
        <v>78</v>
      </c>
      <c r="C28" s="158" t="s">
        <v>97</v>
      </c>
      <c r="D28" s="158" t="s">
        <v>44</v>
      </c>
      <c r="E28" s="158" t="s">
        <v>84</v>
      </c>
      <c r="F28" s="158" t="str">
        <f>+VLOOKUP(A28,'Estado SCI'!$A$16:$I$59,9,0)</f>
        <v>Mantenimiento del control</v>
      </c>
      <c r="G28" s="158">
        <f>+VLOOKUP(A28,'Estado SCI'!$A$16:$L$59,12,0)</f>
        <v>60.326000000000001</v>
      </c>
      <c r="H28" s="158">
        <f t="shared" si="0"/>
        <v>27</v>
      </c>
      <c r="I28" s="158" t="str">
        <f>+IF(VLOOKUP(A28,'Estado SCI'!$A$16:$G$59,7,0)="","",VLOOKUP(A28,'Estado SCI'!$A$16:$G$59,7,0))</f>
        <v>Si</v>
      </c>
      <c r="J28" s="159">
        <f t="shared" si="2"/>
        <v>1</v>
      </c>
      <c r="K28" s="160">
        <f t="shared" si="1"/>
        <v>1</v>
      </c>
    </row>
    <row r="29" spans="1:11" ht="15" customHeight="1" x14ac:dyDescent="0.25">
      <c r="A29" s="158" t="s">
        <v>172</v>
      </c>
      <c r="B29" s="158" t="str">
        <f>+VLOOKUP(A29,'Estado SCI'!$A$16:$C$59,3,0)</f>
        <v>INFORMACION Y COMUNICACIÓN</v>
      </c>
      <c r="C29" s="158" t="s">
        <v>97</v>
      </c>
      <c r="D29" s="158" t="s">
        <v>34</v>
      </c>
      <c r="E29" s="158" t="s">
        <v>88</v>
      </c>
      <c r="F29" s="158" t="str">
        <f>+VLOOKUP(A29,'Estado SCI'!$A$16:$I$59,9,0)</f>
        <v>Mantenimiento del control</v>
      </c>
      <c r="G29" s="158">
        <f>+VLOOKUP(A29,'Estado SCI'!$A$16:$L$59,12,0)</f>
        <v>80.412000000000006</v>
      </c>
      <c r="H29" s="158">
        <f t="shared" si="0"/>
        <v>28</v>
      </c>
      <c r="I29" s="158" t="str">
        <f>+IF(VLOOKUP(A29,'Estado SCI'!$A$16:$G$59,7,0)="","",VLOOKUP(A29,'Estado SCI'!$A$16:$G$59,7,0))</f>
        <v>Si</v>
      </c>
      <c r="J29" s="159">
        <f t="shared" si="2"/>
        <v>1</v>
      </c>
      <c r="K29" s="160">
        <f t="shared" si="1"/>
        <v>1</v>
      </c>
    </row>
    <row r="30" spans="1:11" ht="15" customHeight="1" x14ac:dyDescent="0.25">
      <c r="A30" s="158" t="s">
        <v>173</v>
      </c>
      <c r="B30" s="158" t="s">
        <v>86</v>
      </c>
      <c r="C30" s="158" t="s">
        <v>97</v>
      </c>
      <c r="D30" s="158" t="s">
        <v>37</v>
      </c>
      <c r="E30" s="158" t="s">
        <v>89</v>
      </c>
      <c r="F30" s="158" t="str">
        <f>+VLOOKUP(A30,'Estado SCI'!$A$16:$I$59,9,0)</f>
        <v>Mantenimiento del control</v>
      </c>
      <c r="G30" s="158">
        <f>+VLOOKUP(A30,'Estado SCI'!$A$16:$L$59,12,0)</f>
        <v>80.412300000000002</v>
      </c>
      <c r="H30" s="158">
        <f t="shared" si="0"/>
        <v>29</v>
      </c>
      <c r="I30" s="158" t="str">
        <f>+IF(VLOOKUP(A30,'Estado SCI'!$A$16:$G$59,7,0)="","",VLOOKUP(A30,'Estado SCI'!$A$16:$G$59,7,0))</f>
        <v>Si</v>
      </c>
      <c r="J30" s="159">
        <f t="shared" si="2"/>
        <v>1</v>
      </c>
      <c r="K30" s="160">
        <f t="shared" si="1"/>
        <v>1</v>
      </c>
    </row>
    <row r="31" spans="1:11" ht="15.75" customHeight="1" x14ac:dyDescent="0.25">
      <c r="A31" s="158" t="s">
        <v>174</v>
      </c>
      <c r="B31" s="158" t="s">
        <v>86</v>
      </c>
      <c r="C31" s="158" t="s">
        <v>97</v>
      </c>
      <c r="D31" s="158" t="s">
        <v>40</v>
      </c>
      <c r="E31" s="158" t="s">
        <v>90</v>
      </c>
      <c r="F31" s="158" t="str">
        <f>+VLOOKUP(A31,'Estado SCI'!$A$16:$I$59,9,0)</f>
        <v>Mantenimiento del control</v>
      </c>
      <c r="G31" s="158">
        <f>+VLOOKUP(A31,'Estado SCI'!$A$16:$L$59,12,0)</f>
        <v>80.41234</v>
      </c>
      <c r="H31" s="158">
        <f t="shared" si="0"/>
        <v>30</v>
      </c>
      <c r="I31" s="158" t="str">
        <f>+IF(VLOOKUP(A31,'Estado SCI'!$A$16:$G$59,7,0)="","",VLOOKUP(A31,'Estado SCI'!$A$16:$G$59,7,0))</f>
        <v>Si</v>
      </c>
      <c r="J31" s="159">
        <f t="shared" si="2"/>
        <v>1</v>
      </c>
      <c r="K31" s="160">
        <f t="shared" si="1"/>
        <v>1</v>
      </c>
    </row>
    <row r="32" spans="1:11" x14ac:dyDescent="0.25">
      <c r="A32" s="158" t="s">
        <v>175</v>
      </c>
      <c r="B32" s="158" t="s">
        <v>86</v>
      </c>
      <c r="C32" s="158" t="s">
        <v>103</v>
      </c>
      <c r="D32" s="158" t="s">
        <v>42</v>
      </c>
      <c r="E32" s="158" t="s">
        <v>91</v>
      </c>
      <c r="F32" s="158" t="str">
        <f>+VLOOKUP(A32,'Estado SCI'!$A$16:$I$59,9,0)</f>
        <v>Mantenimiento del control</v>
      </c>
      <c r="G32" s="158">
        <f>+VLOOKUP(A32,'Estado SCI'!$A$16:$L$59,12,0)</f>
        <v>80.412345000000002</v>
      </c>
      <c r="H32" s="158">
        <f t="shared" si="0"/>
        <v>31</v>
      </c>
      <c r="I32" s="158" t="str">
        <f>+IF(VLOOKUP(A32,'Estado SCI'!$A$16:$G$59,7,0)="","",VLOOKUP(A32,'Estado SCI'!$A$16:$G$59,7,0))</f>
        <v>Si</v>
      </c>
      <c r="J32" s="159">
        <f t="shared" si="2"/>
        <v>1</v>
      </c>
      <c r="K32" s="160">
        <f t="shared" si="1"/>
        <v>1</v>
      </c>
    </row>
    <row r="33" spans="1:11" x14ac:dyDescent="0.25">
      <c r="A33" s="158" t="s">
        <v>176</v>
      </c>
      <c r="B33" s="158" t="s">
        <v>86</v>
      </c>
      <c r="C33" s="158" t="s">
        <v>177</v>
      </c>
      <c r="D33" s="158" t="s">
        <v>44</v>
      </c>
      <c r="E33" s="158" t="s">
        <v>92</v>
      </c>
      <c r="F33" s="158" t="str">
        <f>+VLOOKUP(A33,'Estado SCI'!$A$16:$I$59,9,0)</f>
        <v>Mantenimiento del control</v>
      </c>
      <c r="G33" s="158">
        <f>+VLOOKUP(A33,'Estado SCI'!$A$16:$L$59,12,0)</f>
        <v>80.412345599999995</v>
      </c>
      <c r="H33" s="158">
        <f t="shared" si="0"/>
        <v>32</v>
      </c>
      <c r="I33" s="158" t="str">
        <f>+IF(VLOOKUP(A33,'Estado SCI'!$A$16:$G$59,7,0)="","",VLOOKUP(A33,'Estado SCI'!$A$16:$G$59,7,0))</f>
        <v>Si</v>
      </c>
      <c r="J33" s="159">
        <f t="shared" si="2"/>
        <v>1</v>
      </c>
      <c r="K33" s="160">
        <f t="shared" si="1"/>
        <v>1</v>
      </c>
    </row>
    <row r="34" spans="1:11" x14ac:dyDescent="0.25">
      <c r="A34" s="158" t="s">
        <v>178</v>
      </c>
      <c r="B34" s="158" t="s">
        <v>86</v>
      </c>
      <c r="C34" s="158" t="s">
        <v>177</v>
      </c>
      <c r="D34" s="158" t="s">
        <v>46</v>
      </c>
      <c r="E34" s="158" t="s">
        <v>93</v>
      </c>
      <c r="F34" s="158" t="str">
        <f>+VLOOKUP(A34,'Estado SCI'!$A$16:$I$59,9,0)</f>
        <v>Mantenimiento del control</v>
      </c>
      <c r="G34" s="158">
        <f>+VLOOKUP(A34,'Estado SCI'!$A$16:$L$59,12,0)</f>
        <v>80.412345669999993</v>
      </c>
      <c r="H34" s="158">
        <f t="shared" si="0"/>
        <v>33</v>
      </c>
      <c r="I34" s="158" t="str">
        <f>+IF(VLOOKUP(A34,'Estado SCI'!$A$16:$G$59,7,0)="","",VLOOKUP(A34,'Estado SCI'!$A$16:$G$59,7,0))</f>
        <v>Si</v>
      </c>
      <c r="J34" s="159">
        <f t="shared" si="2"/>
        <v>1</v>
      </c>
      <c r="K34" s="160">
        <f t="shared" si="1"/>
        <v>1</v>
      </c>
    </row>
    <row r="35" spans="1:11" x14ac:dyDescent="0.25">
      <c r="A35" s="158" t="s">
        <v>179</v>
      </c>
      <c r="B35" s="158" t="s">
        <v>86</v>
      </c>
      <c r="C35" s="158" t="s">
        <v>177</v>
      </c>
      <c r="D35" s="158" t="s">
        <v>48</v>
      </c>
      <c r="E35" s="158" t="s">
        <v>94</v>
      </c>
      <c r="F35" s="158" t="str">
        <f>+VLOOKUP(A35,'Estado SCI'!$A$16:$I$59,9,0)</f>
        <v>Mantenimiento del control</v>
      </c>
      <c r="G35" s="158">
        <f>+VLOOKUP(A35,'Estado SCI'!$A$16:$L$59,12,0)</f>
        <v>80.412345677999994</v>
      </c>
      <c r="H35" s="158">
        <f t="shared" si="0"/>
        <v>34</v>
      </c>
      <c r="I35" s="158" t="str">
        <f>+IF(VLOOKUP(A35,'Estado SCI'!$A$16:$G$59,7,0)="","",VLOOKUP(A35,'Estado SCI'!$A$16:$G$59,7,0))</f>
        <v>Si</v>
      </c>
      <c r="J35" s="159">
        <f t="shared" si="2"/>
        <v>1</v>
      </c>
      <c r="K35" s="160">
        <f t="shared" si="1"/>
        <v>1</v>
      </c>
    </row>
    <row r="36" spans="1:11" x14ac:dyDescent="0.25">
      <c r="A36" s="158" t="s">
        <v>180</v>
      </c>
      <c r="B36" s="158" t="str">
        <f>+VLOOKUP(A36,'Estado SCI'!$A$16:$C$59,3,0)</f>
        <v>ACTIVIDADES DE MONITOREO</v>
      </c>
      <c r="C36" s="158" t="s">
        <v>177</v>
      </c>
      <c r="D36" s="158" t="s">
        <v>34</v>
      </c>
      <c r="E36" s="158" t="s">
        <v>98</v>
      </c>
      <c r="F36" s="158" t="str">
        <f>+VLOOKUP(A36,'Estado SCI'!$A$16:$I$59,9,0)</f>
        <v>Mantenimiento del control</v>
      </c>
      <c r="G36" s="158">
        <f>+VLOOKUP(A36,'Estado SCI'!$A$16:$L$59,12,0)</f>
        <v>120.851</v>
      </c>
      <c r="H36" s="158">
        <f t="shared" si="0"/>
        <v>36</v>
      </c>
      <c r="I36" s="158" t="str">
        <f>+IF(VLOOKUP(A36,'Estado SCI'!$A$16:$G$59,7,0)="","",VLOOKUP(A36,'Estado SCI'!$A$16:$G$59,7,0))</f>
        <v>Si</v>
      </c>
      <c r="J36" s="159">
        <f t="shared" si="2"/>
        <v>1</v>
      </c>
      <c r="K36" s="160">
        <f t="shared" si="1"/>
        <v>0.9</v>
      </c>
    </row>
    <row r="37" spans="1:11" x14ac:dyDescent="0.25">
      <c r="A37" s="158" t="s">
        <v>181</v>
      </c>
      <c r="B37" s="158" t="s">
        <v>96</v>
      </c>
      <c r="C37" s="158" t="s">
        <v>177</v>
      </c>
      <c r="D37" s="158" t="s">
        <v>42</v>
      </c>
      <c r="E37" s="158" t="s">
        <v>99</v>
      </c>
      <c r="F37" s="158" t="str">
        <f>+VLOOKUP(A37,'Estado SCI'!$A$16:$I$59,9,0)</f>
        <v>Mantenimiento del control</v>
      </c>
      <c r="G37" s="158">
        <f>+VLOOKUP(A37,'Estado SCI'!$A$16:$L$59,12,0)</f>
        <v>120.85120000000001</v>
      </c>
      <c r="H37" s="158">
        <f t="shared" si="0"/>
        <v>37</v>
      </c>
      <c r="I37" s="158" t="str">
        <f>+IF(VLOOKUP(A37,'Estado SCI'!$A$16:$G$59,7,0)="","",VLOOKUP(A37,'Estado SCI'!$A$16:$G$59,7,0))</f>
        <v>Si</v>
      </c>
      <c r="J37" s="159">
        <f t="shared" si="2"/>
        <v>1</v>
      </c>
      <c r="K37" s="160">
        <f t="shared" si="1"/>
        <v>0.9</v>
      </c>
    </row>
    <row r="38" spans="1:11" x14ac:dyDescent="0.25">
      <c r="A38" s="158" t="s">
        <v>182</v>
      </c>
      <c r="B38" s="158" t="s">
        <v>96</v>
      </c>
      <c r="C38" s="158" t="s">
        <v>68</v>
      </c>
      <c r="D38" s="158" t="s">
        <v>46</v>
      </c>
      <c r="E38" s="158" t="s">
        <v>100</v>
      </c>
      <c r="F38" s="158" t="str">
        <f>+VLOOKUP(A38,'Estado SCI'!$A$16:$I$59,9,0)</f>
        <v>Mantenimiento del control</v>
      </c>
      <c r="G38" s="158">
        <f>+VLOOKUP(A38,'Estado SCI'!$A$16:$L$59,12,0)</f>
        <v>120.85123</v>
      </c>
      <c r="H38" s="158">
        <f t="shared" si="0"/>
        <v>38</v>
      </c>
      <c r="I38" s="158" t="str">
        <f>+IF(VLOOKUP(A38,'Estado SCI'!$A$16:$G$59,7,0)="","",VLOOKUP(A38,'Estado SCI'!$A$16:$G$59,7,0))</f>
        <v>Si</v>
      </c>
      <c r="J38" s="159">
        <f t="shared" si="2"/>
        <v>1</v>
      </c>
      <c r="K38" s="160">
        <f t="shared" si="1"/>
        <v>0.9</v>
      </c>
    </row>
    <row r="39" spans="1:11" x14ac:dyDescent="0.25">
      <c r="A39" s="158" t="s">
        <v>183</v>
      </c>
      <c r="B39" s="158" t="s">
        <v>96</v>
      </c>
      <c r="C39" s="158" t="s">
        <v>68</v>
      </c>
      <c r="D39" s="158" t="s">
        <v>48</v>
      </c>
      <c r="E39" s="158" t="s">
        <v>101</v>
      </c>
      <c r="F39" s="158" t="str">
        <f>+VLOOKUP(A39,'Estado SCI'!$A$16:$I$59,9,0)</f>
        <v>Mantenimiento del control</v>
      </c>
      <c r="G39" s="158">
        <f>+VLOOKUP(A39,'Estado SCI'!$A$16:$L$59,12,0)</f>
        <v>120.85123400000001</v>
      </c>
      <c r="H39" s="158">
        <f t="shared" si="0"/>
        <v>39</v>
      </c>
      <c r="I39" s="158" t="str">
        <f>+IF(VLOOKUP(A39,'Estado SCI'!$A$16:$G$59,7,0)="","",VLOOKUP(A39,'Estado SCI'!$A$16:$G$59,7,0))</f>
        <v>Si</v>
      </c>
      <c r="J39" s="159">
        <f t="shared" si="2"/>
        <v>1</v>
      </c>
      <c r="K39" s="160">
        <f t="shared" si="1"/>
        <v>0.9</v>
      </c>
    </row>
    <row r="40" spans="1:11" x14ac:dyDescent="0.25">
      <c r="A40" s="158" t="s">
        <v>184</v>
      </c>
      <c r="B40" s="158" t="s">
        <v>96</v>
      </c>
      <c r="C40" s="158" t="s">
        <v>68</v>
      </c>
      <c r="D40" s="158" t="s">
        <v>50</v>
      </c>
      <c r="E40" s="158" t="s">
        <v>104</v>
      </c>
      <c r="F40" s="158" t="str">
        <f>+VLOOKUP(A40,'Estado SCI'!$A$16:$I$59,9,0)</f>
        <v>Deficiencia de control</v>
      </c>
      <c r="G40" s="158">
        <f>+VLOOKUP(A40,'Estado SCI'!$A$16:$L$59,12,0)</f>
        <v>80.851234500000004</v>
      </c>
      <c r="H40" s="158">
        <f t="shared" si="0"/>
        <v>35</v>
      </c>
      <c r="I40" s="158" t="str">
        <f>+IF(VLOOKUP(A40,'Estado SCI'!$A$16:$G$59,7,0)="","",VLOOKUP(A40,'Estado SCI'!$A$16:$G$59,7,0))</f>
        <v>No</v>
      </c>
      <c r="J40" s="159">
        <f t="shared" si="2"/>
        <v>0</v>
      </c>
      <c r="K40" s="160">
        <f t="shared" si="1"/>
        <v>0.9</v>
      </c>
    </row>
    <row r="41" spans="1:11" x14ac:dyDescent="0.25">
      <c r="A41" s="158" t="s">
        <v>185</v>
      </c>
      <c r="B41" s="158" t="s">
        <v>96</v>
      </c>
      <c r="C41" s="158" t="s">
        <v>68</v>
      </c>
      <c r="D41" s="158" t="s">
        <v>34</v>
      </c>
      <c r="E41" s="158" t="s">
        <v>107</v>
      </c>
      <c r="F41" s="158" t="str">
        <f>+VLOOKUP(A41,'Estado SCI'!$A$16:$I$59,9,0)</f>
        <v>Mantenimiento del control</v>
      </c>
      <c r="G41" s="158">
        <f>+VLOOKUP(A41,'Estado SCI'!$A$16:$L$59,12,0)</f>
        <v>120.85123455999999</v>
      </c>
      <c r="H41" s="158">
        <f t="shared" si="0"/>
        <v>40</v>
      </c>
      <c r="I41" s="158" t="str">
        <f>+IF(VLOOKUP(A41,'Estado SCI'!$A$16:$G$59,7,0)="","",VLOOKUP(A41,'Estado SCI'!$A$16:$G$59,7,0))</f>
        <v>Si</v>
      </c>
      <c r="J41" s="159">
        <f t="shared" si="2"/>
        <v>1</v>
      </c>
      <c r="K41" s="160">
        <f t="shared" si="1"/>
        <v>0.9</v>
      </c>
    </row>
    <row r="42" spans="1:11" x14ac:dyDescent="0.25">
      <c r="A42" s="158" t="s">
        <v>186</v>
      </c>
      <c r="B42" s="158" t="s">
        <v>96</v>
      </c>
      <c r="C42" s="158" t="s">
        <v>73</v>
      </c>
      <c r="D42" s="158" t="s">
        <v>37</v>
      </c>
      <c r="E42" s="158" t="s">
        <v>108</v>
      </c>
      <c r="F42" s="158" t="str">
        <f>+VLOOKUP(A42,'Estado SCI'!$A$16:$I$59,9,0)</f>
        <v>Mantenimiento del control</v>
      </c>
      <c r="G42" s="158">
        <f>+VLOOKUP(A42,'Estado SCI'!$A$16:$L$59,12,0)</f>
        <v>120.85123456700001</v>
      </c>
      <c r="H42" s="158">
        <f t="shared" si="0"/>
        <v>41</v>
      </c>
      <c r="I42" s="158" t="str">
        <f>+IF(VLOOKUP(A42,'Estado SCI'!$A$16:$G$59,7,0)="","",VLOOKUP(A42,'Estado SCI'!$A$16:$G$59,7,0))</f>
        <v>Si</v>
      </c>
      <c r="J42" s="159">
        <f t="shared" si="2"/>
        <v>1</v>
      </c>
      <c r="K42" s="160">
        <f t="shared" si="1"/>
        <v>0.9</v>
      </c>
    </row>
    <row r="43" spans="1:11" x14ac:dyDescent="0.25">
      <c r="A43" s="158" t="s">
        <v>187</v>
      </c>
      <c r="B43" s="158" t="s">
        <v>96</v>
      </c>
      <c r="C43" s="158" t="s">
        <v>73</v>
      </c>
      <c r="D43" s="158" t="s">
        <v>40</v>
      </c>
      <c r="E43" s="158" t="s">
        <v>109</v>
      </c>
      <c r="F43" s="158" t="str">
        <f>+VLOOKUP(A43,'Estado SCI'!$A$16:$I$59,9,0)</f>
        <v>Mantenimiento del control</v>
      </c>
      <c r="G43" s="158">
        <f>+VLOOKUP(A43,'Estado SCI'!$A$16:$L$59,12,0)</f>
        <v>120.85123456780001</v>
      </c>
      <c r="H43" s="158">
        <f t="shared" si="0"/>
        <v>42</v>
      </c>
      <c r="I43" s="158" t="str">
        <f>+IF(VLOOKUP(A43,'Estado SCI'!$A$16:$G$59,7,0)="","",VLOOKUP(A43,'Estado SCI'!$A$16:$G$59,7,0))</f>
        <v>Si</v>
      </c>
      <c r="J43" s="159">
        <f t="shared" si="2"/>
        <v>1</v>
      </c>
      <c r="K43" s="160">
        <f t="shared" si="1"/>
        <v>0.9</v>
      </c>
    </row>
    <row r="44" spans="1:11" x14ac:dyDescent="0.25">
      <c r="A44" s="158" t="s">
        <v>188</v>
      </c>
      <c r="B44" s="158" t="s">
        <v>96</v>
      </c>
      <c r="C44" s="158" t="s">
        <v>73</v>
      </c>
      <c r="D44" s="158" t="s">
        <v>42</v>
      </c>
      <c r="E44" s="158" t="s">
        <v>110</v>
      </c>
      <c r="F44" s="158" t="str">
        <f>+VLOOKUP(A44,'Estado SCI'!$A$16:$I$59,9,0)</f>
        <v>Mantenimiento del control</v>
      </c>
      <c r="G44" s="158">
        <f>+VLOOKUP(A44,'Estado SCI'!$A$16:$L$59,12,0)</f>
        <v>120.85123456789</v>
      </c>
      <c r="H44" s="158">
        <f t="shared" si="0"/>
        <v>43</v>
      </c>
      <c r="I44" s="158" t="str">
        <f>+IF(VLOOKUP(A44,'Estado SCI'!$A$16:$G$59,7,0)="","",VLOOKUP(A44,'Estado SCI'!$A$16:$G$59,7,0))</f>
        <v>Si</v>
      </c>
      <c r="J44" s="159">
        <f t="shared" si="2"/>
        <v>1</v>
      </c>
      <c r="K44" s="160">
        <f t="shared" si="1"/>
        <v>0.9</v>
      </c>
    </row>
    <row r="45" spans="1:11" x14ac:dyDescent="0.25">
      <c r="A45" s="158" t="s">
        <v>189</v>
      </c>
      <c r="B45" s="158" t="s">
        <v>96</v>
      </c>
      <c r="C45" s="158" t="s">
        <v>73</v>
      </c>
      <c r="D45" s="158" t="s">
        <v>44</v>
      </c>
      <c r="E45" s="158" t="s">
        <v>111</v>
      </c>
      <c r="F45" s="158" t="str">
        <f>+VLOOKUP(A45,'Estado SCI'!$A$16:$I$59,9,0)</f>
        <v>Mantenimiento del control</v>
      </c>
      <c r="G45" s="158">
        <f>+VLOOKUP(A45,'Estado SCI'!$A$16:$L$59,12,0)</f>
        <v>120.851234567891</v>
      </c>
      <c r="H45" s="158">
        <f t="shared" si="0"/>
        <v>44</v>
      </c>
      <c r="I45" s="158" t="str">
        <f>+IF(VLOOKUP(A45,'Estado SCI'!$A$16:$G$59,7,0)="","",VLOOKUP(A45,'Estado SCI'!$A$16:$G$59,7,0))</f>
        <v>Si</v>
      </c>
      <c r="J45" s="159">
        <f t="shared" si="2"/>
        <v>1</v>
      </c>
      <c r="K45" s="160">
        <f t="shared" si="1"/>
        <v>0.9</v>
      </c>
    </row>
  </sheetData>
  <sheetProtection algorithmName="SHA-512" hashValue="eXgkKlTi9xJKAI7t6Aeb2RaFpkfyF43pI2BIhtxDc7hsl0SqLK8I4Wc7jbZwC5kw3uyIHOBIUXRnh5cC70LKYA==" saltValue="AxKzX6Ar80vT7acQV8rFpQ==" spinCount="100000" sheet="1" objects="1" scenarios="1" selectLockedCells="1"/>
  <autoFilter ref="A1:K45" xr:uid="{00000000-0009-0000-0000-000004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Instructivo</vt:lpstr>
      <vt:lpstr>Estado SCI</vt:lpstr>
      <vt:lpstr>Análisis Resultados</vt:lpstr>
      <vt:lpstr>Conclusión</vt:lpstr>
      <vt:lpstr>Hoja1</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Juntas Piso 6</dc:creator>
  <cp:lastModifiedBy>Lenovo</cp:lastModifiedBy>
  <cp:revision/>
  <cp:lastPrinted>2025-07-21T23:15:12Z</cp:lastPrinted>
  <dcterms:created xsi:type="dcterms:W3CDTF">2020-04-28T13:58:09Z</dcterms:created>
  <dcterms:modified xsi:type="dcterms:W3CDTF">2026-07-24T17:34:53Z</dcterms:modified>
</cp:coreProperties>
</file>